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80" yWindow="65311" windowWidth="14940" windowHeight="8550" activeTab="1"/>
  </bookViews>
  <sheets>
    <sheet name="☆見本☆" sheetId="1" r:id="rId1"/>
    <sheet name="入力用" sheetId="2" r:id="rId2"/>
  </sheets>
  <definedNames>
    <definedName name="_xlnm.Print_Area" localSheetId="0">'☆見本☆'!$A$1:$BL$68</definedName>
    <definedName name="_xlnm.Print_Area" localSheetId="1">'入力用'!$A$1:$BL$67</definedName>
  </definedNames>
  <calcPr fullCalcOnLoad="1"/>
</workbook>
</file>

<file path=xl/comments1.xml><?xml version="1.0" encoding="utf-8"?>
<comments xmlns="http://schemas.openxmlformats.org/spreadsheetml/2006/main">
  <authors>
    <author>人事総務部給与厚生Ｇ　山崎貴紀（内線711-2412）</author>
    <author>日新火災海上保険株式会社</author>
  </authors>
  <commentList>
    <comment ref="Y2" authorId="0">
      <text>
        <r>
          <rPr>
            <sz val="9"/>
            <rFont val="ＭＳ Ｐゴシック"/>
            <family val="3"/>
          </rPr>
          <t>「申込書」「通知書兼利用券」のチェックボックスは入力不要です。</t>
        </r>
      </text>
    </comment>
    <comment ref="AF2" authorId="0">
      <text>
        <r>
          <rPr>
            <sz val="9"/>
            <rFont val="ＭＳ Ｐゴシック"/>
            <family val="3"/>
          </rPr>
          <t>「申込書」「通知書兼利用券」のチェックボックスは入力不要です。</t>
        </r>
      </text>
    </comment>
    <comment ref="B4" authorId="0">
      <text>
        <r>
          <rPr>
            <sz val="9"/>
            <rFont val="ＭＳ Ｐゴシック"/>
            <family val="3"/>
          </rPr>
          <t>下記のプルダウンリストより申込を行う厚生施設を選択ください。</t>
        </r>
      </text>
    </comment>
    <comment ref="AY17" authorId="1">
      <text>
        <r>
          <rPr>
            <sz val="7.5"/>
            <rFont val="HG丸ｺﾞｼｯｸM-PRO"/>
            <family val="3"/>
          </rPr>
          <t>ＩＰ＝ ４ケタ
内線＝ ７ケタ</t>
        </r>
      </text>
    </comment>
    <comment ref="Q27" authorId="0">
      <text>
        <r>
          <rPr>
            <sz val="9"/>
            <rFont val="ＭＳ Ｐゴシック"/>
            <family val="3"/>
          </rPr>
          <t>未就学児（３～５歳）・乳幼児の寝具利用の有無を記入ください。</t>
        </r>
      </text>
    </comment>
    <comment ref="T27" authorId="0">
      <text>
        <r>
          <rPr>
            <sz val="9"/>
            <rFont val="ＭＳ Ｐゴシック"/>
            <family val="3"/>
          </rPr>
          <t>申込人との関係についてリストに適切な語がない場合、プリントアウト後に手書き修正してください。</t>
        </r>
      </text>
    </comment>
    <comment ref="D23" authorId="0">
      <text>
        <r>
          <rPr>
            <sz val="9"/>
            <rFont val="ＭＳ Ｐゴシック"/>
            <family val="3"/>
          </rPr>
          <t>通知書兼利用券の返信先の住所を記載ください。</t>
        </r>
      </text>
    </comment>
  </commentList>
</comments>
</file>

<file path=xl/comments2.xml><?xml version="1.0" encoding="utf-8"?>
<comments xmlns="http://schemas.openxmlformats.org/spreadsheetml/2006/main">
  <authors>
    <author>人事総務部給与厚生Ｇ　山崎貴紀（内線711-2412）</author>
  </authors>
  <commentList>
    <comment ref="T27" authorId="0">
      <text>
        <r>
          <rPr>
            <sz val="9"/>
            <rFont val="ＭＳ Ｐゴシック"/>
            <family val="3"/>
          </rPr>
          <t>申込人との関係についてリストに適切な選択肢がない場合は
自由記載欄に記入ください。</t>
        </r>
      </text>
    </comment>
    <comment ref="BM27" authorId="0">
      <text>
        <r>
          <rPr>
            <sz val="9"/>
            <rFont val="ＭＳ Ｐゴシック"/>
            <family val="3"/>
          </rPr>
          <t>未就学児フラグ
０：６歳以上
１：０～５歳</t>
        </r>
      </text>
    </comment>
    <comment ref="Y2" authorId="0">
      <text>
        <r>
          <rPr>
            <sz val="9"/>
            <rFont val="ＭＳ Ｐゴシック"/>
            <family val="3"/>
          </rPr>
          <t>「申込書」「通知書兼利用券」のチェックボックスは入力不要です。</t>
        </r>
      </text>
    </comment>
    <comment ref="AF2" authorId="0">
      <text>
        <r>
          <rPr>
            <sz val="9"/>
            <rFont val="ＭＳ Ｐゴシック"/>
            <family val="3"/>
          </rPr>
          <t>「申込書」「通知書兼利用券」のチェックボックスは入力不要です。</t>
        </r>
      </text>
    </comment>
    <comment ref="Q27" authorId="0">
      <text>
        <r>
          <rPr>
            <sz val="9"/>
            <rFont val="ＭＳ Ｐゴシック"/>
            <family val="3"/>
          </rPr>
          <t>未就学児（３～５歳）・乳幼児の
寝具利用の有無を記入ください。</t>
        </r>
      </text>
    </comment>
    <comment ref="B4" authorId="0">
      <text>
        <r>
          <rPr>
            <sz val="9"/>
            <rFont val="ＭＳ Ｐゴシック"/>
            <family val="3"/>
          </rPr>
          <t>下記のプルダウンリストより申込を行う厚生施設を選択ください。</t>
        </r>
      </text>
    </comment>
    <comment ref="D23" authorId="0">
      <text>
        <r>
          <rPr>
            <sz val="9"/>
            <rFont val="ＭＳ Ｐゴシック"/>
            <family val="3"/>
          </rPr>
          <t>通知書兼利用券の返信先の
住所を記載ください。</t>
        </r>
      </text>
    </comment>
  </commentList>
</comments>
</file>

<file path=xl/sharedStrings.xml><?xml version="1.0" encoding="utf-8"?>
<sst xmlns="http://schemas.openxmlformats.org/spreadsheetml/2006/main" count="286" uniqueCount="135">
  <si>
    <t>○</t>
  </si>
  <si>
    <t>日新　太郎</t>
  </si>
  <si>
    <t>申込書</t>
  </si>
  <si>
    <t>通知書兼利用券</t>
  </si>
  <si>
    <t>厚生寮利用申込書</t>
  </si>
  <si>
    <t>発行責任者</t>
  </si>
  <si>
    <t>担当者</t>
  </si>
  <si>
    <r>
      <t>所</t>
    </r>
    <r>
      <rPr>
        <sz val="6"/>
        <rFont val="ＭＳ Ｐ明朝"/>
        <family val="1"/>
      </rPr>
      <t>　</t>
    </r>
    <r>
      <rPr>
        <sz val="9"/>
        <rFont val="ＭＳ Ｐ明朝"/>
        <family val="1"/>
      </rPr>
      <t>属</t>
    </r>
  </si>
  <si>
    <t>申込人</t>
  </si>
  <si>
    <t>ﾌﾘｶﾞﾅ</t>
  </si>
  <si>
    <t>利用時間</t>
  </si>
  <si>
    <t>客室</t>
  </si>
  <si>
    <t>連絡電話</t>
  </si>
  <si>
    <t>月</t>
  </si>
  <si>
    <t>曜日）（</t>
  </si>
  <si>
    <t>泊）午後</t>
  </si>
  <si>
    <t>時より</t>
  </si>
  <si>
    <t>曜日）</t>
  </si>
  <si>
    <t>時まで</t>
  </si>
  <si>
    <t>（朝食 7時 ～  9時）</t>
  </si>
  <si>
    <t>利用明細</t>
  </si>
  <si>
    <t>利用者氏名</t>
  </si>
  <si>
    <t>年齢</t>
  </si>
  <si>
    <t>申込人との関係</t>
  </si>
  <si>
    <t>食事</t>
  </si>
  <si>
    <t>日</t>
  </si>
  <si>
    <t>夕食</t>
  </si>
  <si>
    <t>朝食</t>
  </si>
  <si>
    <t>合計</t>
  </si>
  <si>
    <t>男</t>
  </si>
  <si>
    <t>女</t>
  </si>
  <si>
    <t>未就学児</t>
  </si>
  <si>
    <t>計</t>
  </si>
  <si>
    <t xml:space="preserve"> No.　　 　　</t>
  </si>
  <si>
    <t>人事総務部</t>
  </si>
  <si>
    <t xml:space="preserve">　   </t>
  </si>
  <si>
    <t xml:space="preserve">     午前</t>
  </si>
  <si>
    <t xml:space="preserve"> 食</t>
  </si>
  <si>
    <t>朝食</t>
  </si>
  <si>
    <t>　備　　　考　　☆ 各厚生寮施設利用時間はかならず守って下さい。</t>
  </si>
  <si>
    <t>希望する</t>
  </si>
  <si>
    <t>利用料</t>
  </si>
  <si>
    <t>リネン料</t>
  </si>
  <si>
    <t>(</t>
  </si>
  <si>
    <t>志賀山荘</t>
  </si>
  <si>
    <t>由布院倶楽部</t>
  </si>
  <si>
    <t>利用料（本人・家族）　</t>
  </si>
  <si>
    <t>利用料（本人・家族以外）　</t>
  </si>
  <si>
    <t>利用料（未就学児《本人・家族》）　</t>
  </si>
  <si>
    <t>利用料（未就学児《本人・家族以外》）　</t>
  </si>
  <si>
    <t>利用料（未就学児《寝具不使用》）　</t>
  </si>
  <si>
    <t>リネン料　</t>
  </si>
  <si>
    <t>入湯税　</t>
  </si>
  <si>
    <t>暖房費　</t>
  </si>
  <si>
    <t>一般室</t>
  </si>
  <si>
    <t>無</t>
  </si>
  <si>
    <t xml:space="preserve"> 選択し、備考欄に記入してください。</t>
  </si>
  <si>
    <t xml:space="preserve"> 三日月は全額利用料が発生します。</t>
  </si>
  <si>
    <t>本人</t>
  </si>
  <si>
    <t>日新　花子</t>
  </si>
  <si>
    <t>子</t>
  </si>
  <si>
    <t>配偶者</t>
  </si>
  <si>
    <t>有</t>
  </si>
  <si>
    <t>父母</t>
  </si>
  <si>
    <t>東海　紅葉</t>
  </si>
  <si>
    <t>完</t>
  </si>
  <si>
    <t>朝食代</t>
  </si>
  <si>
    <t>ﾙｽﾂA</t>
  </si>
  <si>
    <t>ﾙｽﾂB</t>
  </si>
  <si>
    <t>ﾙｽﾂC</t>
  </si>
  <si>
    <t>ﾙｽﾂD</t>
  </si>
  <si>
    <t>日新　梅子</t>
  </si>
  <si>
    <t>利用料（未就学児）</t>
  </si>
  <si>
    <t>↓</t>
  </si>
  <si>
    <t>+暖房費</t>
  </si>
  <si>
    <t>+夕食代</t>
  </si>
  <si>
    <t>金額単価=&gt;</t>
  </si>
  <si>
    <t>表示内容</t>
  </si>
  <si>
    <t>説明文字列=&gt;</t>
  </si>
  <si>
    <t>（夕食18時～20時）</t>
  </si>
  <si>
    <t>+朝食代</t>
  </si>
  <si>
    <t>+入湯税</t>
  </si>
  <si>
    <t>チケット代金</t>
  </si>
  <si>
    <t>上段：説明文、下段：料金</t>
  </si>
  <si>
    <t>三日月</t>
  </si>
  <si>
    <t>リネン料（寝具なし）</t>
  </si>
  <si>
    <t>フラグ区分=&gt;</t>
  </si>
  <si>
    <t>ｽｶｲﾊﾟｰｸﾎﾃﾙ</t>
  </si>
  <si>
    <t>穂高ﾋﾞｭｰﾎﾃﾙ</t>
  </si>
  <si>
    <t>リネン料（寝具なし）　</t>
  </si>
  <si>
    <t>夕食代</t>
  </si>
  <si>
    <t>利用料《寝具なし》</t>
  </si>
  <si>
    <t>ルスツリゾート</t>
  </si>
  <si>
    <t>穂高</t>
  </si>
  <si>
    <t>由布院</t>
  </si>
  <si>
    <t>ｽｶｲﾊﾟｰｸ</t>
  </si>
  <si>
    <t>料金計</t>
  </si>
  <si>
    <t>損保　一郎</t>
  </si>
  <si>
    <t>その他</t>
  </si>
  <si>
    <t>日新　小太郎</t>
  </si>
  <si>
    <t>バイキング</t>
  </si>
  <si>
    <t>みつわ会</t>
  </si>
  <si>
    <t>みつわ会会員番号</t>
  </si>
  <si>
    <t>自宅</t>
  </si>
  <si>
    <t>携帯</t>
  </si>
  <si>
    <t>日新　星之助</t>
  </si>
  <si>
    <t>日新　海</t>
  </si>
  <si>
    <t>同居の親族</t>
  </si>
  <si>
    <r>
      <t>0</t>
    </r>
    <r>
      <rPr>
        <sz val="11"/>
        <rFont val="ＭＳ Ｐゴシック"/>
        <family val="3"/>
      </rPr>
      <t>3-XXXX-XXXX</t>
    </r>
  </si>
  <si>
    <r>
      <t>0</t>
    </r>
    <r>
      <rPr>
        <sz val="11"/>
        <rFont val="ＭＳ Ｐゴシック"/>
        <family val="3"/>
      </rPr>
      <t>90-XXXX-XXXX</t>
    </r>
  </si>
  <si>
    <t>住所</t>
  </si>
  <si>
    <t>未就学児寝具利用</t>
  </si>
  <si>
    <t>勝浦ﾎﾃﾙ三日月</t>
  </si>
  <si>
    <t>　自　由　記　載　欄</t>
  </si>
  <si>
    <t>東京都千代田区神田駿河台２－３</t>
  </si>
  <si>
    <t>平成　　　年　　　月　　　日</t>
  </si>
  <si>
    <t>下記▼より申込を行う厚生施設を選択ください。</t>
  </si>
  <si>
    <t>２．希望する厚生施設を左上の▼から選択してください。宿泊券等のﾁｹｯﾄを申込む場合は、申込組数・枚数を記入してください。</t>
  </si>
  <si>
    <t>３．食事時間を考慮のうえ、チェックイン・アウトの時間を記入してください。</t>
  </si>
  <si>
    <t>４．申込人との関係欄は、必ず記入して下さい。</t>
  </si>
  <si>
    <t>７．食事代は４歳から発生します。また、３歳以下の未就学児でもお申込欄に○が記載されている場合は発生します。</t>
  </si>
  <si>
    <t>９．利用日当日には、利用者は利用券を現地へ持参し、寮管理人・フロントに提出して下さい。利用券に記載のない方は利用できません。</t>
  </si>
  <si>
    <t xml:space="preserve"> 三日月は全額利用料が発生します。</t>
  </si>
  <si>
    <t xml:space="preserve">　 </t>
  </si>
  <si>
    <r>
      <t>１．厚生施設の利用を申込む場合は、</t>
    </r>
    <r>
      <rPr>
        <u val="single"/>
        <sz val="9"/>
        <rFont val="ＭＳ Ｐ明朝"/>
        <family val="1"/>
      </rPr>
      <t>本申込書を添付の上、人事総務部給与厚生グループまでＥメールにて申込ください</t>
    </r>
    <r>
      <rPr>
        <sz val="9"/>
        <rFont val="ＭＳ Ｐ明朝"/>
        <family val="1"/>
      </rPr>
      <t>。</t>
    </r>
  </si>
  <si>
    <t>５．必要とする食事に○印を付し、合計食事数を確認してください。勝浦ホテル三日月で夕食希望の場合は、「バイキング」「和食」のいずれかを</t>
  </si>
  <si>
    <t>６．未就学児の利用の場合は、寝具の有無を記入して下さい。未就学児は寝具使用の場合に限り、志賀山荘は半額、勝浦ホテル</t>
  </si>
  <si>
    <t xml:space="preserve"> ☆　厚生施設利用に際しては、下記の注意事項を確認ください。</t>
  </si>
  <si>
    <t>　 １０．申込内容の変更または取消をする場合は速やかに人事総務部給与厚生グループへ連絡してください。</t>
  </si>
  <si>
    <r>
      <t xml:space="preserve">備考欄（宿泊・ﾁｹｯﾄ代金等）
</t>
    </r>
    <r>
      <rPr>
        <sz val="10"/>
        <color indexed="10"/>
        <rFont val="ＭＳ Ｐ明朝"/>
        <family val="1"/>
      </rPr>
      <t>※人事総務部記入欄</t>
    </r>
  </si>
  <si>
    <t xml:space="preserve">  １０．申込内容の変更または取消をする場合は速やかに人事総務部給与厚生グループへ連絡してください。</t>
  </si>
  <si>
    <r>
      <t>備考欄</t>
    </r>
    <r>
      <rPr>
        <sz val="9"/>
        <rFont val="ＭＳ Ｐ明朝"/>
        <family val="1"/>
      </rPr>
      <t xml:space="preserve">（宿泊・ﾁｹｯﾄ代金等）
</t>
    </r>
    <r>
      <rPr>
        <sz val="9"/>
        <color indexed="10"/>
        <rFont val="ＭＳ Ｐ明朝"/>
        <family val="1"/>
      </rPr>
      <t>※人事総務部入力欄</t>
    </r>
  </si>
  <si>
    <t>８．利用料には消費税が加算されます（食事代含む）。</t>
  </si>
  <si>
    <t>５．必要とする食事に○印を付し、合計食事数を確認してください。勝浦ホテル三日月で夕食希望の場合は、「バイキング」「和食」の</t>
  </si>
  <si>
    <t xml:space="preserve"> いずれかを選択し、備考欄に記入してください。</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</si>
</sst>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 #\ \)"/>
    <numFmt numFmtId="177" formatCode="###\-####"/>
    <numFmt numFmtId="178" formatCode="\(#####\)"/>
    <numFmt numFmtId="179" formatCode="\(#\)"/>
    <numFmt numFmtId="180" formatCode="\(0#####\)"/>
    <numFmt numFmtId="181" formatCode="0#####"/>
    <numFmt numFmtId="182" formatCode="\ 0#####"/>
    <numFmt numFmtId="183" formatCode="\ \ 0#####"/>
    <numFmt numFmtId="184" formatCode="\ \ \ General"/>
    <numFmt numFmtId="185" formatCode="yyyy&quot;年&quot;m&quot;月&quot;d&quot;日&quot;\(aaa\)"/>
    <numFmt numFmtId="186" formatCode="#,##0\ &quot;円&quot;;\-#,##0\ &quot;円&quot;"/>
    <numFmt numFmtId="187" formatCode="&quot;宿泊料金　&quot;#,##0\ &quot;円&quot;;\-#,##0\ &quot;円&quot;"/>
    <numFmt numFmtId="188" formatCode="&quot;宿泊料金　&quot;#,##0\ &quot;円&quot;;&quot;宿泊料金　&quot;\-#,##0\ &quot;円&quot;"/>
    <numFmt numFmtId="189" formatCode="m&quot;月&quot;d&quot;日&quot;;@"/>
    <numFmt numFmtId="190" formatCode="aaa"/>
    <numFmt numFmtId="191" formatCode="&quot;¥&quot;#,##0_);[Red]\(&quot;¥&quot;#,##0\)"/>
    <numFmt numFmtId="192" formatCode="&quot;¥&quot;#,##0;[Red]&quot;¥&quot;#,##0"/>
    <numFmt numFmtId="193" formatCode="&quot;¥&quot;#,##0_);\(&quot;¥&quot;#,##0\)"/>
    <numFmt numFmtId="194" formatCode="General\ &quot;円&quot;"/>
    <numFmt numFmtId="195" formatCode="d"/>
    <numFmt numFmtId="196" formatCode="m"/>
    <numFmt numFmtId="197" formatCode="&quot;合計金額　&quot;#,###,##0\ &quot;円&quot;"/>
    <numFmt numFmtId="198" formatCode="m&quot;月&quot;"/>
    <numFmt numFmtId="199" formatCode="yyyy&quot;年&quot;m&quot;月&quot;d&quot;日&quot;;@"/>
    <numFmt numFmtId="200" formatCode="#,##0\ "/>
  </numFmts>
  <fonts count="77">
    <font>
      <sz val="11"/>
      <name val="ＭＳ Ｐゴシック"/>
      <family val="3"/>
    </font>
    <font>
      <sz val="6"/>
      <name val="ＭＳ Ｐゴシック"/>
      <family val="3"/>
    </font>
    <font>
      <sz val="11"/>
      <name val="ＭＳ Ｐ明朝"/>
      <family val="1"/>
    </font>
    <font>
      <sz val="9"/>
      <name val="ＭＳ Ｐ明朝"/>
      <family val="1"/>
    </font>
    <font>
      <sz val="8"/>
      <name val="ＭＳ Ｐ明朝"/>
      <family val="1"/>
    </font>
    <font>
      <b/>
      <sz val="17"/>
      <name val="ＭＳ Ｐ明朝"/>
      <family val="1"/>
    </font>
    <font>
      <sz val="10"/>
      <name val="ＭＳ Ｐ明朝"/>
      <family val="1"/>
    </font>
    <font>
      <sz val="6"/>
      <name val="ＭＳ Ｐ明朝"/>
      <family val="1"/>
    </font>
    <font>
      <sz val="8"/>
      <color indexed="22"/>
      <name val="Century"/>
      <family val="1"/>
    </font>
    <font>
      <sz val="7"/>
      <name val="ＭＳ Ｐ明朝"/>
      <family val="1"/>
    </font>
    <font>
      <sz val="7.5"/>
      <name val="ＭＳ Ｐ明朝"/>
      <family val="1"/>
    </font>
    <font>
      <b/>
      <u val="single"/>
      <sz val="11"/>
      <name val="ＭＳ Ｐ明朝"/>
      <family val="1"/>
    </font>
    <font>
      <sz val="12"/>
      <name val="MS UI Gothic"/>
      <family val="3"/>
    </font>
    <font>
      <sz val="11"/>
      <name val="MS UI Gothic"/>
      <family val="3"/>
    </font>
    <font>
      <sz val="8"/>
      <name val="MS UI Gothic"/>
      <family val="3"/>
    </font>
    <font>
      <sz val="9"/>
      <name val="MS UI Gothic"/>
      <family val="3"/>
    </font>
    <font>
      <sz val="7.5"/>
      <name val="HG丸ｺﾞｼｯｸM-PRO"/>
      <family val="3"/>
    </font>
    <font>
      <u val="single"/>
      <sz val="9"/>
      <name val="ＭＳ Ｐ明朝"/>
      <family val="1"/>
    </font>
    <font>
      <b/>
      <sz val="11"/>
      <color indexed="10"/>
      <name val="ＭＳ Ｐ明朝"/>
      <family val="1"/>
    </font>
    <font>
      <sz val="11.5"/>
      <color indexed="10"/>
      <name val="MS UI Gothic"/>
      <family val="3"/>
    </font>
    <font>
      <sz val="8"/>
      <color indexed="22"/>
      <name val="ＭＳ Ｐ明朝"/>
      <family val="1"/>
    </font>
    <font>
      <b/>
      <sz val="8"/>
      <color indexed="12"/>
      <name val="ＭＳ Ｐ明朝"/>
      <family val="1"/>
    </font>
    <font>
      <sz val="9"/>
      <color indexed="10"/>
      <name val="ＭＳ Ｐ明朝"/>
      <family val="1"/>
    </font>
    <font>
      <b/>
      <sz val="9"/>
      <color indexed="10"/>
      <name val="ＭＳ Ｐ明朝"/>
      <family val="1"/>
    </font>
    <font>
      <sz val="9"/>
      <name val="ＭＳ Ｐゴシック"/>
      <family val="3"/>
    </font>
    <font>
      <sz val="12"/>
      <name val="ＭＳ Ｐゴシック"/>
      <family val="3"/>
    </font>
    <font>
      <sz val="10"/>
      <name val="ＭＳ Ｐゴシック"/>
      <family val="3"/>
    </font>
    <font>
      <sz val="11"/>
      <color indexed="9"/>
      <name val="ＭＳ Ｐ明朝"/>
      <family val="1"/>
    </font>
    <font>
      <sz val="8"/>
      <color indexed="10"/>
      <name val="ＭＳ Ｐ明朝"/>
      <family val="1"/>
    </font>
    <font>
      <sz val="11"/>
      <color indexed="9"/>
      <name val="ＭＳ Ｐゴシック"/>
      <family val="3"/>
    </font>
    <font>
      <b/>
      <sz val="11"/>
      <color indexed="9"/>
      <name val="ＭＳ Ｐゴシック"/>
      <family val="3"/>
    </font>
    <font>
      <b/>
      <sz val="10"/>
      <color indexed="9"/>
      <name val="ＭＳ Ｐゴシック"/>
      <family val="3"/>
    </font>
    <font>
      <sz val="12"/>
      <name val="ＭＳ Ｐ明朝"/>
      <family val="1"/>
    </font>
    <font>
      <b/>
      <sz val="10"/>
      <color indexed="8"/>
      <name val="ＭＳ Ｐ明朝"/>
      <family val="1"/>
    </font>
    <font>
      <b/>
      <sz val="10"/>
      <name val="ＭＳ Ｐ明朝"/>
      <family val="1"/>
    </font>
    <font>
      <b/>
      <sz val="10"/>
      <name val="ＭＳ Ｐゴシック"/>
      <family val="3"/>
    </font>
    <font>
      <sz val="10"/>
      <color indexed="10"/>
      <name val="ＭＳ Ｐ明朝"/>
      <family val="1"/>
    </font>
    <font>
      <sz val="14"/>
      <name val="ＭＳ Ｐゴシック"/>
      <family val="3"/>
    </font>
    <font>
      <sz val="14"/>
      <name val="ＭＳ Ｐ明朝"/>
      <family val="1"/>
    </font>
    <font>
      <sz val="11"/>
      <color indexed="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8"/>
      <name val="ＭＳ Ｐゴシック"/>
      <family val="3"/>
    </font>
    <font>
      <b/>
      <sz val="12"/>
      <color indexed="10"/>
      <name val="ＭＳ Ｐゴシック"/>
      <family val="3"/>
    </font>
    <font>
      <b/>
      <sz val="12"/>
      <color indexed="8"/>
      <name val="ＭＳ Ｐゴシック"/>
      <family val="3"/>
    </font>
    <font>
      <sz val="12"/>
      <color indexed="12"/>
      <name val="ＭＳ Ｐゴシック"/>
      <family val="3"/>
    </font>
    <font>
      <sz val="10"/>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0"/>
        <bgColor indexed="64"/>
      </patternFill>
    </fill>
    <fill>
      <patternFill patternType="solid">
        <fgColor indexed="41"/>
        <bgColor indexed="64"/>
      </patternFill>
    </fill>
    <fill>
      <patternFill patternType="solid">
        <fgColor indexed="23"/>
        <bgColor indexed="64"/>
      </patternFill>
    </fill>
    <fill>
      <patternFill patternType="solid">
        <fgColor indexed="26"/>
        <bgColor indexed="64"/>
      </patternFill>
    </fill>
    <fill>
      <patternFill patternType="solid">
        <fgColor indexed="45"/>
        <bgColor indexed="64"/>
      </patternFill>
    </fill>
    <fill>
      <patternFill patternType="solid">
        <fgColor indexed="61"/>
        <bgColor indexed="64"/>
      </patternFill>
    </fill>
    <fill>
      <patternFill patternType="solid">
        <fgColor indexed="12"/>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style="hair"/>
      <top style="hair"/>
      <bottom style="hair"/>
    </border>
    <border>
      <left>
        <color indexed="63"/>
      </left>
      <right>
        <color indexed="63"/>
      </right>
      <top style="hair"/>
      <bottom style="hair"/>
    </border>
    <border>
      <left style="thin"/>
      <right style="thin"/>
      <top style="thin"/>
      <bottom>
        <color indexed="63"/>
      </bottom>
    </border>
    <border>
      <left style="thin"/>
      <right>
        <color indexed="63"/>
      </right>
      <top style="thin"/>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hair"/>
      <right>
        <color indexed="63"/>
      </right>
      <top style="hair"/>
      <bottom style="hair"/>
    </border>
    <border>
      <left style="hair"/>
      <right style="thin"/>
      <top style="hair"/>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thin"/>
      <bottom style="hair"/>
    </border>
    <border>
      <left style="thin"/>
      <right>
        <color indexed="63"/>
      </right>
      <top style="thin"/>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ck"/>
      <right style="thick"/>
      <top style="hair"/>
      <bottom>
        <color indexed="63"/>
      </bottom>
    </border>
    <border>
      <left style="thin"/>
      <right style="thin"/>
      <top style="hair"/>
      <bottom>
        <color indexed="63"/>
      </bottom>
    </border>
    <border>
      <left style="thin"/>
      <right style="medium"/>
      <top style="hair"/>
      <bottom>
        <color indexed="63"/>
      </bottom>
    </border>
    <border>
      <left style="medium"/>
      <right style="medium"/>
      <top style="medium"/>
      <bottom>
        <color indexed="63"/>
      </bottom>
    </border>
    <border>
      <left style="thick"/>
      <right style="thick"/>
      <top>
        <color indexed="63"/>
      </top>
      <bottom style="hair"/>
    </border>
    <border>
      <left style="thin"/>
      <right style="thin"/>
      <top>
        <color indexed="63"/>
      </top>
      <bottom style="hair"/>
    </border>
    <border>
      <left style="thin"/>
      <right style="medium"/>
      <top>
        <color indexed="63"/>
      </top>
      <bottom style="hair"/>
    </border>
    <border>
      <left style="medium"/>
      <right style="medium"/>
      <top>
        <color indexed="63"/>
      </top>
      <bottom style="hair"/>
    </border>
    <border>
      <left style="medium"/>
      <right style="medium"/>
      <top style="hair"/>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hair"/>
      <top>
        <color indexed="63"/>
      </top>
      <bottom>
        <color indexed="63"/>
      </bottom>
    </border>
    <border>
      <left style="thick"/>
      <right style="thick"/>
      <top>
        <color indexed="63"/>
      </top>
      <bottom style="thick"/>
    </border>
    <border>
      <left>
        <color indexed="63"/>
      </left>
      <right style="hair"/>
      <top>
        <color indexed="63"/>
      </top>
      <bottom style="thin"/>
    </border>
    <border>
      <left style="thin"/>
      <right style="thin"/>
      <top>
        <color indexed="63"/>
      </top>
      <bottom style="thin"/>
    </border>
    <border>
      <left style="thin"/>
      <right style="medium"/>
      <top>
        <color indexed="63"/>
      </top>
      <bottom style="thin"/>
    </border>
    <border>
      <left style="medium"/>
      <right style="medium"/>
      <top>
        <color indexed="63"/>
      </top>
      <bottom style="medium"/>
    </border>
    <border>
      <left style="hair"/>
      <right style="thick"/>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75" fillId="32" borderId="0" applyNumberFormat="0" applyBorder="0" applyAlignment="0" applyProtection="0"/>
  </cellStyleXfs>
  <cellXfs count="519">
    <xf numFmtId="0" fontId="0" fillId="0" borderId="0" xfId="0" applyAlignment="1">
      <alignment/>
    </xf>
    <xf numFmtId="0" fontId="2" fillId="33" borderId="0" xfId="0" applyFont="1" applyFill="1" applyAlignment="1" applyProtection="1">
      <alignment vertical="center"/>
      <protection/>
    </xf>
    <xf numFmtId="0" fontId="2" fillId="0" borderId="0" xfId="0" applyFont="1" applyAlignment="1" applyProtection="1">
      <alignment vertical="center"/>
      <protection/>
    </xf>
    <xf numFmtId="0" fontId="3" fillId="33" borderId="0" xfId="0" applyFont="1" applyFill="1" applyAlignment="1" applyProtection="1">
      <alignment vertical="center"/>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Fill="1" applyAlignment="1" applyProtection="1">
      <alignment/>
      <protection/>
    </xf>
    <xf numFmtId="0" fontId="28" fillId="33" borderId="0"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9" fillId="33" borderId="0" xfId="0" applyFont="1" applyFill="1" applyAlignment="1" applyProtection="1">
      <alignment/>
      <protection/>
    </xf>
    <xf numFmtId="0" fontId="27" fillId="0" borderId="0"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0" fillId="0" borderId="0" xfId="0" applyBorder="1" applyAlignment="1" applyProtection="1">
      <alignment vertical="center"/>
      <protection/>
    </xf>
    <xf numFmtId="0" fontId="2" fillId="33" borderId="0" xfId="0" applyFont="1" applyFill="1" applyAlignment="1" applyProtection="1">
      <alignment vertical="top"/>
      <protection/>
    </xf>
    <xf numFmtId="0" fontId="2" fillId="34" borderId="0" xfId="0" applyFont="1" applyFill="1" applyAlignment="1" applyProtection="1">
      <alignment vertical="top"/>
      <protection/>
    </xf>
    <xf numFmtId="0" fontId="4" fillId="33" borderId="11" xfId="0" applyFont="1" applyFill="1" applyBorder="1" applyAlignment="1" applyProtection="1">
      <alignment horizontal="center" vertical="center"/>
      <protection/>
    </xf>
    <xf numFmtId="0" fontId="4" fillId="33" borderId="12"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4" fillId="33" borderId="13" xfId="0" applyFont="1" applyFill="1" applyBorder="1" applyAlignment="1" applyProtection="1">
      <alignment vertical="center"/>
      <protection/>
    </xf>
    <xf numFmtId="0" fontId="4" fillId="33" borderId="14" xfId="0" applyFont="1" applyFill="1" applyBorder="1" applyAlignment="1" applyProtection="1">
      <alignment vertical="center"/>
      <protection/>
    </xf>
    <xf numFmtId="0" fontId="4" fillId="33" borderId="15" xfId="0" applyFont="1" applyFill="1" applyBorder="1" applyAlignment="1" applyProtection="1">
      <alignment vertical="center"/>
      <protection/>
    </xf>
    <xf numFmtId="0" fontId="2" fillId="33" borderId="15"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4" fillId="33" borderId="16" xfId="0" applyFont="1" applyFill="1" applyBorder="1" applyAlignment="1" applyProtection="1">
      <alignment vertical="center"/>
      <protection/>
    </xf>
    <xf numFmtId="0" fontId="0" fillId="0" borderId="15" xfId="0" applyBorder="1" applyAlignment="1" applyProtection="1">
      <alignment/>
      <protection/>
    </xf>
    <xf numFmtId="0" fontId="0" fillId="0" borderId="0" xfId="0" applyAlignment="1" applyProtection="1">
      <alignment/>
      <protection/>
    </xf>
    <xf numFmtId="0" fontId="8" fillId="0" borderId="0" xfId="0" applyFont="1" applyFill="1" applyBorder="1" applyAlignment="1" applyProtection="1">
      <alignment horizontal="center" vertical="center"/>
      <protection/>
    </xf>
    <xf numFmtId="177" fontId="19" fillId="0" borderId="0" xfId="0" applyNumberFormat="1" applyFont="1" applyFill="1" applyBorder="1" applyAlignment="1" applyProtection="1">
      <alignment horizontal="center" vertical="center"/>
      <protection/>
    </xf>
    <xf numFmtId="0" fontId="8" fillId="0" borderId="13" xfId="0" applyFont="1" applyFill="1" applyBorder="1" applyAlignment="1" applyProtection="1">
      <alignment horizontal="center" vertical="center"/>
      <protection/>
    </xf>
    <xf numFmtId="0" fontId="20" fillId="0" borderId="15" xfId="0" applyFont="1" applyFill="1" applyBorder="1" applyAlignment="1" applyProtection="1">
      <alignment horizontal="center" vertical="center"/>
      <protection/>
    </xf>
    <xf numFmtId="177" fontId="19" fillId="0" borderId="15" xfId="0" applyNumberFormat="1" applyFont="1" applyFill="1" applyBorder="1" applyAlignment="1" applyProtection="1">
      <alignment horizontal="center" vertical="center"/>
      <protection/>
    </xf>
    <xf numFmtId="0" fontId="8" fillId="0" borderId="15" xfId="0" applyFont="1" applyFill="1" applyBorder="1" applyAlignment="1" applyProtection="1">
      <alignment horizontal="center" vertical="center"/>
      <protection/>
    </xf>
    <xf numFmtId="0" fontId="8" fillId="0" borderId="16" xfId="0" applyFont="1" applyFill="1" applyBorder="1" applyAlignment="1" applyProtection="1">
      <alignment horizontal="center" vertical="center"/>
      <protection/>
    </xf>
    <xf numFmtId="0" fontId="15" fillId="33" borderId="17" xfId="0" applyFont="1" applyFill="1" applyBorder="1" applyAlignment="1" applyProtection="1">
      <alignment horizontal="center" vertical="center"/>
      <protection/>
    </xf>
    <xf numFmtId="0" fontId="15" fillId="33" borderId="11" xfId="0" applyFont="1" applyFill="1" applyBorder="1" applyAlignment="1" applyProtection="1">
      <alignment horizontal="center" vertical="center"/>
      <protection/>
    </xf>
    <xf numFmtId="0" fontId="4" fillId="33" borderId="11" xfId="0" applyFont="1" applyFill="1" applyBorder="1" applyAlignment="1" applyProtection="1">
      <alignment vertical="center"/>
      <protection/>
    </xf>
    <xf numFmtId="0" fontId="14" fillId="33" borderId="11"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textRotation="255"/>
      <protection/>
    </xf>
    <xf numFmtId="0" fontId="4" fillId="33" borderId="11" xfId="0" applyFont="1" applyFill="1" applyBorder="1" applyAlignment="1" applyProtection="1">
      <alignment/>
      <protection/>
    </xf>
    <xf numFmtId="0" fontId="3" fillId="33" borderId="11" xfId="0" applyFont="1" applyFill="1" applyBorder="1" applyAlignment="1" applyProtection="1">
      <alignment vertical="center"/>
      <protection/>
    </xf>
    <xf numFmtId="0" fontId="3" fillId="33" borderId="18" xfId="0" applyFont="1" applyFill="1" applyBorder="1" applyAlignment="1" applyProtection="1">
      <alignment vertical="center"/>
      <protection/>
    </xf>
    <xf numFmtId="0" fontId="4" fillId="33" borderId="0" xfId="0" applyFont="1" applyFill="1" applyBorder="1" applyAlignment="1" applyProtection="1">
      <alignment horizontal="center" vertical="center" textRotation="255"/>
      <protection/>
    </xf>
    <xf numFmtId="0" fontId="4" fillId="33" borderId="0" xfId="0" applyFont="1" applyFill="1" applyBorder="1" applyAlignment="1" applyProtection="1">
      <alignment/>
      <protection/>
    </xf>
    <xf numFmtId="0" fontId="3" fillId="33" borderId="0" xfId="0" applyFont="1" applyFill="1" applyBorder="1" applyAlignment="1" applyProtection="1">
      <alignment vertical="center"/>
      <protection/>
    </xf>
    <xf numFmtId="0" fontId="3" fillId="33" borderId="13" xfId="0" applyFont="1" applyFill="1" applyBorder="1" applyAlignment="1" applyProtection="1">
      <alignment vertical="center"/>
      <protection/>
    </xf>
    <xf numFmtId="0" fontId="4" fillId="33" borderId="15" xfId="0" applyFont="1" applyFill="1" applyBorder="1" applyAlignment="1" applyProtection="1">
      <alignment vertical="top"/>
      <protection/>
    </xf>
    <xf numFmtId="0" fontId="4" fillId="33" borderId="15" xfId="0" applyFont="1" applyFill="1" applyBorder="1" applyAlignment="1" applyProtection="1">
      <alignment horizontal="left" vertical="top"/>
      <protection/>
    </xf>
    <xf numFmtId="0" fontId="4" fillId="33" borderId="15" xfId="0" applyFont="1" applyFill="1" applyBorder="1" applyAlignment="1" applyProtection="1">
      <alignment horizontal="center" vertical="top" textRotation="255"/>
      <protection/>
    </xf>
    <xf numFmtId="0" fontId="4" fillId="33" borderId="16" xfId="0" applyFont="1" applyFill="1" applyBorder="1" applyAlignment="1" applyProtection="1">
      <alignment vertical="top"/>
      <protection/>
    </xf>
    <xf numFmtId="0" fontId="0" fillId="33" borderId="0" xfId="0" applyFont="1" applyFill="1" applyAlignment="1" applyProtection="1">
      <alignment/>
      <protection/>
    </xf>
    <xf numFmtId="0" fontId="4" fillId="33" borderId="11" xfId="0" applyFont="1" applyFill="1" applyBorder="1" applyAlignment="1" applyProtection="1">
      <alignment horizontal="left" vertical="center"/>
      <protection/>
    </xf>
    <xf numFmtId="0" fontId="4" fillId="33" borderId="11" xfId="0" applyFont="1" applyFill="1" applyBorder="1" applyAlignment="1" applyProtection="1">
      <alignment horizontal="center" vertical="top"/>
      <protection/>
    </xf>
    <xf numFmtId="0" fontId="4" fillId="33" borderId="11" xfId="0" applyFont="1" applyFill="1" applyBorder="1" applyAlignment="1" applyProtection="1">
      <alignment vertical="top"/>
      <protection/>
    </xf>
    <xf numFmtId="0" fontId="4" fillId="33" borderId="0" xfId="0" applyFont="1" applyFill="1" applyBorder="1" applyAlignment="1" applyProtection="1">
      <alignment horizontal="center" vertical="top"/>
      <protection/>
    </xf>
    <xf numFmtId="0" fontId="0" fillId="0" borderId="0" xfId="0" applyFill="1" applyBorder="1" applyAlignment="1" applyProtection="1">
      <alignment horizontal="center"/>
      <protection/>
    </xf>
    <xf numFmtId="0" fontId="4" fillId="33" borderId="15" xfId="0" applyFont="1" applyFill="1" applyBorder="1" applyAlignment="1" applyProtection="1">
      <alignment horizontal="center" vertical="top"/>
      <protection/>
    </xf>
    <xf numFmtId="0" fontId="3" fillId="33" borderId="15" xfId="0" applyFont="1" applyFill="1" applyBorder="1" applyAlignment="1" applyProtection="1">
      <alignment vertical="center"/>
      <protection/>
    </xf>
    <xf numFmtId="0" fontId="0" fillId="0" borderId="0" xfId="0" applyFill="1" applyAlignment="1" applyProtection="1">
      <alignment horizontal="right"/>
      <protection/>
    </xf>
    <xf numFmtId="0" fontId="0" fillId="0" borderId="0" xfId="0" applyFill="1" applyAlignment="1" applyProtection="1">
      <alignment shrinkToFit="1"/>
      <protection/>
    </xf>
    <xf numFmtId="0" fontId="2" fillId="0" borderId="0" xfId="0" applyFont="1" applyFill="1" applyAlignment="1" applyProtection="1">
      <alignment vertical="center" shrinkToFit="1"/>
      <protection/>
    </xf>
    <xf numFmtId="0" fontId="0" fillId="35" borderId="0" xfId="0" applyFill="1" applyAlignment="1" applyProtection="1">
      <alignment shrinkToFit="1"/>
      <protection/>
    </xf>
    <xf numFmtId="0" fontId="0" fillId="35" borderId="0" xfId="0" applyFill="1" applyAlignment="1" applyProtection="1" quotePrefix="1">
      <alignment shrinkToFit="1"/>
      <protection/>
    </xf>
    <xf numFmtId="0" fontId="2" fillId="35" borderId="0" xfId="0" applyFont="1" applyFill="1" applyAlignment="1" applyProtection="1">
      <alignment vertical="center" shrinkToFit="1"/>
      <protection/>
    </xf>
    <xf numFmtId="0" fontId="9" fillId="0" borderId="19" xfId="0" applyFont="1" applyFill="1" applyBorder="1" applyAlignment="1" applyProtection="1">
      <alignment horizontal="right" vertical="center"/>
      <protection/>
    </xf>
    <xf numFmtId="0" fontId="9" fillId="0" borderId="20" xfId="0" applyFont="1" applyFill="1" applyBorder="1" applyAlignment="1" applyProtection="1">
      <alignment horizontal="left" vertical="center"/>
      <protection/>
    </xf>
    <xf numFmtId="0" fontId="0" fillId="0" borderId="0" xfId="0" applyFill="1" applyAlignment="1" applyProtection="1" quotePrefix="1">
      <alignment horizontal="right"/>
      <protection/>
    </xf>
    <xf numFmtId="0" fontId="2" fillId="0" borderId="0" xfId="0" applyFont="1" applyFill="1" applyAlignment="1" applyProtection="1" quotePrefix="1">
      <alignment horizontal="right" vertical="center"/>
      <protection/>
    </xf>
    <xf numFmtId="0" fontId="34" fillId="0" borderId="21" xfId="0" applyFont="1" applyBorder="1" applyAlignment="1" applyProtection="1">
      <alignment horizontal="center" vertical="center"/>
      <protection/>
    </xf>
    <xf numFmtId="0" fontId="34" fillId="0" borderId="22" xfId="0" applyFont="1" applyBorder="1" applyAlignment="1" applyProtection="1">
      <alignment horizontal="center" vertical="center"/>
      <protection/>
    </xf>
    <xf numFmtId="0" fontId="0" fillId="0" borderId="0" xfId="0" applyFont="1" applyFill="1" applyAlignment="1" applyProtection="1">
      <alignment/>
      <protection/>
    </xf>
    <xf numFmtId="0" fontId="30" fillId="36" borderId="23" xfId="0" applyFont="1" applyFill="1" applyBorder="1" applyAlignment="1" applyProtection="1">
      <alignment horizontal="center"/>
      <protection/>
    </xf>
    <xf numFmtId="0" fontId="30" fillId="36" borderId="24" xfId="0" applyFont="1" applyFill="1" applyBorder="1" applyAlignment="1" applyProtection="1">
      <alignment horizontal="center"/>
      <protection/>
    </xf>
    <xf numFmtId="0" fontId="30" fillId="36" borderId="25" xfId="0" applyFont="1" applyFill="1" applyBorder="1" applyAlignment="1" applyProtection="1">
      <alignment horizontal="center"/>
      <protection/>
    </xf>
    <xf numFmtId="0" fontId="30" fillId="36" borderId="19" xfId="0" applyFont="1" applyFill="1" applyBorder="1" applyAlignment="1" applyProtection="1">
      <alignment horizontal="center"/>
      <protection/>
    </xf>
    <xf numFmtId="0" fontId="30" fillId="36" borderId="10" xfId="0" applyFont="1" applyFill="1" applyBorder="1" applyAlignment="1" applyProtection="1">
      <alignment horizontal="center"/>
      <protection/>
    </xf>
    <xf numFmtId="0" fontId="30" fillId="36" borderId="26" xfId="0" applyFont="1" applyFill="1" applyBorder="1" applyAlignment="1" applyProtection="1">
      <alignment horizontal="center"/>
      <protection/>
    </xf>
    <xf numFmtId="0" fontId="0" fillId="0" borderId="19" xfId="0" applyFill="1" applyBorder="1" applyAlignment="1" applyProtection="1">
      <alignment horizontal="center"/>
      <protection/>
    </xf>
    <xf numFmtId="0" fontId="0" fillId="0" borderId="10" xfId="0" applyFill="1" applyBorder="1" applyAlignment="1" applyProtection="1">
      <alignment horizontal="center"/>
      <protection/>
    </xf>
    <xf numFmtId="0" fontId="0" fillId="0" borderId="27" xfId="0" applyFill="1" applyBorder="1" applyAlignment="1" applyProtection="1">
      <alignment horizontal="center"/>
      <protection/>
    </xf>
    <xf numFmtId="0" fontId="0" fillId="0" borderId="28" xfId="0" applyFill="1" applyBorder="1" applyAlignment="1" applyProtection="1">
      <alignment horizontal="center"/>
      <protection/>
    </xf>
    <xf numFmtId="0" fontId="0" fillId="0" borderId="29" xfId="0" applyFill="1" applyBorder="1" applyAlignment="1" applyProtection="1">
      <alignment horizontal="center"/>
      <protection/>
    </xf>
    <xf numFmtId="0" fontId="0" fillId="0" borderId="30" xfId="0" applyFill="1" applyBorder="1" applyAlignment="1" applyProtection="1">
      <alignment horizontal="center"/>
      <protection/>
    </xf>
    <xf numFmtId="0" fontId="0" fillId="0" borderId="31" xfId="0" applyFill="1" applyBorder="1" applyAlignment="1" applyProtection="1">
      <alignment horizontal="center"/>
      <protection/>
    </xf>
    <xf numFmtId="0" fontId="0" fillId="0" borderId="32" xfId="0" applyFill="1" applyBorder="1" applyAlignment="1" applyProtection="1">
      <alignment horizontal="center"/>
      <protection/>
    </xf>
    <xf numFmtId="0" fontId="0" fillId="0" borderId="0" xfId="0" applyFont="1" applyFill="1" applyAlignment="1" applyProtection="1">
      <alignment/>
      <protection/>
    </xf>
    <xf numFmtId="0" fontId="0" fillId="37" borderId="33" xfId="0" applyFill="1" applyBorder="1" applyAlignment="1" applyProtection="1">
      <alignment horizontal="center"/>
      <protection/>
    </xf>
    <xf numFmtId="0" fontId="0" fillId="37" borderId="34" xfId="0" applyFill="1" applyBorder="1" applyAlignment="1" applyProtection="1">
      <alignment horizontal="center"/>
      <protection/>
    </xf>
    <xf numFmtId="0" fontId="0" fillId="37" borderId="35" xfId="0" applyFill="1" applyBorder="1" applyAlignment="1" applyProtection="1">
      <alignment horizontal="center"/>
      <protection/>
    </xf>
    <xf numFmtId="0" fontId="0" fillId="37" borderId="18" xfId="0" applyFill="1" applyBorder="1" applyAlignment="1" applyProtection="1">
      <alignment horizontal="center"/>
      <protection/>
    </xf>
    <xf numFmtId="0" fontId="0" fillId="37" borderId="17" xfId="0" applyFill="1" applyBorder="1" applyAlignment="1" applyProtection="1">
      <alignment horizontal="center"/>
      <protection/>
    </xf>
    <xf numFmtId="0" fontId="0" fillId="0" borderId="36" xfId="0" applyFill="1" applyBorder="1" applyAlignment="1" applyProtection="1">
      <alignment horizontal="center"/>
      <protection/>
    </xf>
    <xf numFmtId="0" fontId="3" fillId="0" borderId="18" xfId="0" applyFont="1" applyBorder="1" applyAlignment="1" applyProtection="1">
      <alignment horizontal="center" vertical="center"/>
      <protection/>
    </xf>
    <xf numFmtId="0" fontId="3" fillId="0" borderId="34" xfId="0" applyFont="1" applyBorder="1" applyAlignment="1" applyProtection="1">
      <alignment horizontal="center" vertical="center"/>
      <protection/>
    </xf>
    <xf numFmtId="0" fontId="3" fillId="0" borderId="35" xfId="0" applyFont="1" applyBorder="1" applyAlignment="1" applyProtection="1">
      <alignment horizontal="center" vertical="center"/>
      <protection/>
    </xf>
    <xf numFmtId="0" fontId="3" fillId="0" borderId="33" xfId="0" applyFont="1" applyBorder="1" applyAlignment="1" applyProtection="1">
      <alignment horizontal="center" vertical="center"/>
      <protection/>
    </xf>
    <xf numFmtId="0" fontId="3" fillId="0" borderId="37" xfId="0" applyFont="1" applyBorder="1" applyAlignment="1" applyProtection="1">
      <alignment horizontal="center" vertical="center"/>
      <protection/>
    </xf>
    <xf numFmtId="0" fontId="3" fillId="0" borderId="38" xfId="0" applyFont="1" applyBorder="1" applyAlignment="1" applyProtection="1">
      <alignment horizontal="center" vertical="center"/>
      <protection/>
    </xf>
    <xf numFmtId="0" fontId="3" fillId="0" borderId="39" xfId="0" applyFont="1" applyBorder="1" applyAlignment="1" applyProtection="1">
      <alignment horizontal="center" vertical="center"/>
      <protection/>
    </xf>
    <xf numFmtId="0" fontId="0" fillId="37" borderId="28" xfId="0" applyFill="1" applyBorder="1" applyAlignment="1" applyProtection="1">
      <alignment horizontal="center"/>
      <protection/>
    </xf>
    <xf numFmtId="0" fontId="0" fillId="37" borderId="29" xfId="0" applyFill="1" applyBorder="1" applyAlignment="1" applyProtection="1">
      <alignment horizontal="center"/>
      <protection/>
    </xf>
    <xf numFmtId="0" fontId="0" fillId="37" borderId="30" xfId="0" applyFill="1" applyBorder="1" applyAlignment="1" applyProtection="1">
      <alignment horizontal="center"/>
      <protection/>
    </xf>
    <xf numFmtId="0" fontId="0" fillId="37" borderId="16" xfId="0" applyFill="1" applyBorder="1" applyAlignment="1" applyProtection="1">
      <alignment horizontal="center"/>
      <protection/>
    </xf>
    <xf numFmtId="0" fontId="0" fillId="37" borderId="14" xfId="0" applyFill="1" applyBorder="1" applyAlignment="1" applyProtection="1">
      <alignment horizontal="center"/>
      <protection/>
    </xf>
    <xf numFmtId="200" fontId="0" fillId="0" borderId="40" xfId="0" applyNumberFormat="1" applyFill="1" applyBorder="1" applyAlignment="1" applyProtection="1">
      <alignment/>
      <protection/>
    </xf>
    <xf numFmtId="0" fontId="3" fillId="0" borderId="16" xfId="0" applyFont="1" applyBorder="1" applyAlignment="1" applyProtection="1">
      <alignment horizontal="center" vertical="center"/>
      <protection/>
    </xf>
    <xf numFmtId="0" fontId="3" fillId="0" borderId="29"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3" fillId="0" borderId="28" xfId="0" applyFont="1" applyBorder="1" applyAlignment="1" applyProtection="1">
      <alignment horizontal="center" vertical="center"/>
      <protection/>
    </xf>
    <xf numFmtId="0" fontId="3" fillId="0" borderId="41" xfId="0" applyFont="1" applyBorder="1" applyAlignment="1" applyProtection="1">
      <alignment horizontal="center" vertical="center"/>
      <protection/>
    </xf>
    <xf numFmtId="0" fontId="3" fillId="0" borderId="42" xfId="0" applyFont="1" applyBorder="1" applyAlignment="1" applyProtection="1">
      <alignment horizontal="center" vertical="center"/>
      <protection/>
    </xf>
    <xf numFmtId="0" fontId="3" fillId="0" borderId="43" xfId="0" applyFont="1" applyBorder="1" applyAlignment="1" applyProtection="1">
      <alignment horizontal="center" vertical="center"/>
      <protection/>
    </xf>
    <xf numFmtId="200" fontId="0" fillId="0" borderId="36" xfId="0" applyNumberFormat="1" applyFill="1" applyBorder="1" applyAlignment="1" applyProtection="1">
      <alignment/>
      <protection/>
    </xf>
    <xf numFmtId="0" fontId="3" fillId="38" borderId="33" xfId="0" applyFont="1" applyFill="1" applyBorder="1" applyAlignment="1" applyProtection="1">
      <alignment horizontal="center" vertical="center"/>
      <protection/>
    </xf>
    <xf numFmtId="0" fontId="3" fillId="38" borderId="34" xfId="0" applyFont="1" applyFill="1" applyBorder="1" applyAlignment="1" applyProtection="1">
      <alignment horizontal="center" vertical="center"/>
      <protection/>
    </xf>
    <xf numFmtId="0" fontId="3" fillId="38" borderId="35" xfId="0" applyFont="1" applyFill="1" applyBorder="1" applyAlignment="1" applyProtection="1">
      <alignment horizontal="center" vertical="center"/>
      <protection/>
    </xf>
    <xf numFmtId="0" fontId="3" fillId="38" borderId="37" xfId="0" applyFont="1" applyFill="1" applyBorder="1" applyAlignment="1" applyProtection="1">
      <alignment horizontal="center" vertical="center"/>
      <protection/>
    </xf>
    <xf numFmtId="0" fontId="3" fillId="38" borderId="38" xfId="0" applyFont="1" applyFill="1" applyBorder="1" applyAlignment="1" applyProtection="1">
      <alignment horizontal="center" vertical="center"/>
      <protection/>
    </xf>
    <xf numFmtId="0" fontId="3" fillId="0" borderId="44" xfId="0" applyFont="1" applyBorder="1" applyAlignment="1" applyProtection="1">
      <alignment horizontal="center" vertical="center"/>
      <protection/>
    </xf>
    <xf numFmtId="0" fontId="3" fillId="38" borderId="28" xfId="0" applyFont="1" applyFill="1" applyBorder="1" applyAlignment="1" applyProtection="1">
      <alignment horizontal="center" vertical="center"/>
      <protection/>
    </xf>
    <xf numFmtId="0" fontId="3" fillId="38" borderId="29" xfId="0" applyFont="1" applyFill="1" applyBorder="1" applyAlignment="1" applyProtection="1">
      <alignment horizontal="center" vertical="center"/>
      <protection/>
    </xf>
    <xf numFmtId="0" fontId="3" fillId="38" borderId="30" xfId="0" applyFont="1" applyFill="1" applyBorder="1" applyAlignment="1" applyProtection="1">
      <alignment horizontal="center" vertical="center"/>
      <protection/>
    </xf>
    <xf numFmtId="0" fontId="3" fillId="38" borderId="41" xfId="0" applyFont="1" applyFill="1" applyBorder="1" applyAlignment="1" applyProtection="1">
      <alignment horizontal="center" vertical="center"/>
      <protection/>
    </xf>
    <xf numFmtId="0" fontId="3" fillId="38" borderId="42" xfId="0" applyFont="1" applyFill="1" applyBorder="1" applyAlignment="1" applyProtection="1">
      <alignment horizontal="center" vertical="center"/>
      <protection/>
    </xf>
    <xf numFmtId="0" fontId="0" fillId="37" borderId="45" xfId="0" applyFill="1" applyBorder="1" applyAlignment="1" applyProtection="1">
      <alignment horizontal="center"/>
      <protection/>
    </xf>
    <xf numFmtId="0" fontId="0" fillId="37" borderId="46" xfId="0" applyFill="1" applyBorder="1" applyAlignment="1" applyProtection="1">
      <alignment horizontal="center"/>
      <protection/>
    </xf>
    <xf numFmtId="0" fontId="0" fillId="37" borderId="47" xfId="0" applyFill="1" applyBorder="1" applyAlignment="1" applyProtection="1">
      <alignment horizontal="center"/>
      <protection/>
    </xf>
    <xf numFmtId="0" fontId="0" fillId="37" borderId="13" xfId="0" applyFill="1" applyBorder="1" applyAlignment="1" applyProtection="1">
      <alignment horizontal="center"/>
      <protection/>
    </xf>
    <xf numFmtId="0" fontId="0" fillId="37" borderId="48" xfId="0" applyFill="1" applyBorder="1" applyAlignment="1" applyProtection="1">
      <alignment horizontal="center"/>
      <protection/>
    </xf>
    <xf numFmtId="0" fontId="0" fillId="37" borderId="12" xfId="0" applyFill="1" applyBorder="1" applyAlignment="1" applyProtection="1">
      <alignment horizontal="center"/>
      <protection/>
    </xf>
    <xf numFmtId="200" fontId="0" fillId="0" borderId="49" xfId="0" applyNumberFormat="1" applyFill="1" applyBorder="1" applyAlignment="1" applyProtection="1">
      <alignment/>
      <protection/>
    </xf>
    <xf numFmtId="0" fontId="3" fillId="0" borderId="50" xfId="0" applyFont="1" applyBorder="1" applyAlignment="1" applyProtection="1">
      <alignment horizontal="center" vertical="center"/>
      <protection/>
    </xf>
    <xf numFmtId="0" fontId="3" fillId="0" borderId="46" xfId="0" applyFont="1" applyBorder="1" applyAlignment="1" applyProtection="1">
      <alignment horizontal="center" vertical="center"/>
      <protection/>
    </xf>
    <xf numFmtId="0" fontId="3" fillId="0" borderId="47" xfId="0" applyFont="1" applyBorder="1" applyAlignment="1" applyProtection="1">
      <alignment horizontal="center" vertical="center"/>
      <protection/>
    </xf>
    <xf numFmtId="0" fontId="3" fillId="0" borderId="45" xfId="0" applyFont="1" applyBorder="1" applyAlignment="1" applyProtection="1">
      <alignment horizontal="center" vertical="center"/>
      <protection/>
    </xf>
    <xf numFmtId="0" fontId="3" fillId="38" borderId="45" xfId="0" applyFont="1" applyFill="1" applyBorder="1" applyAlignment="1" applyProtection="1">
      <alignment horizontal="center" vertical="center"/>
      <protection/>
    </xf>
    <xf numFmtId="0" fontId="3" fillId="38" borderId="46" xfId="0" applyFont="1" applyFill="1" applyBorder="1" applyAlignment="1" applyProtection="1">
      <alignment horizontal="center" vertical="center"/>
      <protection/>
    </xf>
    <xf numFmtId="0" fontId="3" fillId="38" borderId="47" xfId="0" applyFont="1" applyFill="1" applyBorder="1" applyAlignment="1" applyProtection="1">
      <alignment horizontal="center" vertical="center"/>
      <protection/>
    </xf>
    <xf numFmtId="0" fontId="3" fillId="38" borderId="51" xfId="0" applyFont="1" applyFill="1" applyBorder="1" applyAlignment="1" applyProtection="1">
      <alignment horizontal="center" vertical="center"/>
      <protection/>
    </xf>
    <xf numFmtId="0" fontId="3" fillId="38" borderId="52" xfId="0" applyFont="1" applyFill="1" applyBorder="1" applyAlignment="1" applyProtection="1">
      <alignment horizontal="center" vertical="center"/>
      <protection/>
    </xf>
    <xf numFmtId="0" fontId="3" fillId="0" borderId="53" xfId="0" applyFont="1" applyBorder="1" applyAlignment="1" applyProtection="1">
      <alignment horizontal="center" vertical="center"/>
      <protection/>
    </xf>
    <xf numFmtId="0" fontId="0" fillId="0" borderId="0" xfId="0" applyFill="1" applyBorder="1" applyAlignment="1" applyProtection="1">
      <alignment/>
      <protection/>
    </xf>
    <xf numFmtId="0" fontId="2" fillId="0" borderId="0" xfId="0" applyFont="1" applyFill="1" applyBorder="1" applyAlignment="1" applyProtection="1">
      <alignment vertical="center"/>
      <protection/>
    </xf>
    <xf numFmtId="0" fontId="2" fillId="0" borderId="11" xfId="0" applyFont="1" applyFill="1" applyBorder="1" applyAlignment="1" applyProtection="1">
      <alignment vertical="center"/>
      <protection/>
    </xf>
    <xf numFmtId="200" fontId="2" fillId="0" borderId="0" xfId="0" applyNumberFormat="1" applyFont="1" applyFill="1" applyBorder="1" applyAlignment="1" applyProtection="1">
      <alignment/>
      <protection/>
    </xf>
    <xf numFmtId="197" fontId="32" fillId="33" borderId="14" xfId="0" applyNumberFormat="1" applyFont="1" applyFill="1" applyBorder="1" applyAlignment="1" applyProtection="1">
      <alignment horizontal="center" vertical="center"/>
      <protection/>
    </xf>
    <xf numFmtId="197" fontId="32" fillId="33" borderId="15" xfId="0" applyNumberFormat="1" applyFont="1" applyFill="1" applyBorder="1" applyAlignment="1" applyProtection="1">
      <alignment horizontal="center" vertical="center"/>
      <protection/>
    </xf>
    <xf numFmtId="0" fontId="29" fillId="0" borderId="0" xfId="0" applyFont="1" applyFill="1" applyAlignment="1" applyProtection="1">
      <alignment/>
      <protection/>
    </xf>
    <xf numFmtId="0" fontId="0" fillId="0" borderId="0" xfId="0" applyFill="1" applyAlignment="1" applyProtection="1">
      <alignment vertical="center"/>
      <protection/>
    </xf>
    <xf numFmtId="0" fontId="3" fillId="39" borderId="0" xfId="0" applyFont="1" applyFill="1" applyBorder="1" applyAlignment="1" applyProtection="1">
      <alignment vertical="center"/>
      <protection/>
    </xf>
    <xf numFmtId="0" fontId="11" fillId="33" borderId="0" xfId="0" applyFont="1" applyFill="1" applyAlignment="1" applyProtection="1">
      <alignment horizontal="left"/>
      <protection/>
    </xf>
    <xf numFmtId="0" fontId="0" fillId="33" borderId="0" xfId="0" applyFill="1" applyAlignment="1" applyProtection="1">
      <alignment/>
      <protection/>
    </xf>
    <xf numFmtId="0" fontId="3" fillId="0" borderId="0" xfId="0" applyFont="1" applyFill="1" applyAlignment="1" applyProtection="1">
      <alignment vertical="center"/>
      <protection/>
    </xf>
    <xf numFmtId="0" fontId="3" fillId="0" borderId="0" xfId="0" applyFont="1" applyAlignment="1" applyProtection="1">
      <alignment vertical="center"/>
      <protection/>
    </xf>
    <xf numFmtId="0" fontId="3" fillId="33" borderId="0" xfId="0" applyFont="1" applyFill="1" applyAlignment="1" applyProtection="1">
      <alignment horizontal="left" vertical="center" indent="1"/>
      <protection/>
    </xf>
    <xf numFmtId="0" fontId="3" fillId="33" borderId="0" xfId="0" applyFont="1" applyFill="1" applyAlignment="1" applyProtection="1">
      <alignment horizontal="left" vertical="center"/>
      <protection/>
    </xf>
    <xf numFmtId="0" fontId="2" fillId="39" borderId="0" xfId="0" applyFont="1" applyFill="1" applyAlignment="1" applyProtection="1">
      <alignment vertical="top"/>
      <protection/>
    </xf>
    <xf numFmtId="0" fontId="3" fillId="33" borderId="17" xfId="0" applyFont="1" applyFill="1" applyBorder="1" applyAlignment="1" applyProtection="1">
      <alignment/>
      <protection/>
    </xf>
    <xf numFmtId="0" fontId="3" fillId="39" borderId="12" xfId="0" applyFont="1" applyFill="1" applyBorder="1" applyAlignment="1" applyProtection="1">
      <alignment vertical="center"/>
      <protection/>
    </xf>
    <xf numFmtId="0" fontId="21" fillId="39" borderId="0" xfId="0" applyFont="1" applyFill="1" applyBorder="1" applyAlignment="1" applyProtection="1">
      <alignment/>
      <protection/>
    </xf>
    <xf numFmtId="0" fontId="3" fillId="39" borderId="13" xfId="0" applyFont="1" applyFill="1" applyBorder="1" applyAlignment="1" applyProtection="1">
      <alignment vertical="center"/>
      <protection/>
    </xf>
    <xf numFmtId="0" fontId="22" fillId="39" borderId="0" xfId="0" applyFont="1" applyFill="1" applyBorder="1" applyAlignment="1" applyProtection="1">
      <alignment vertical="center"/>
      <protection/>
    </xf>
    <xf numFmtId="0" fontId="23" fillId="39" borderId="13" xfId="0" applyFont="1" applyFill="1" applyBorder="1" applyAlignment="1" applyProtection="1">
      <alignment vertical="center"/>
      <protection/>
    </xf>
    <xf numFmtId="0" fontId="3" fillId="39" borderId="14" xfId="0" applyFont="1" applyFill="1" applyBorder="1" applyAlignment="1" applyProtection="1">
      <alignment vertical="center"/>
      <protection/>
    </xf>
    <xf numFmtId="0" fontId="3" fillId="39" borderId="16"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3" fillId="34" borderId="0" xfId="0" applyFont="1" applyFill="1" applyBorder="1" applyAlignment="1" applyProtection="1">
      <alignment vertical="center"/>
      <protection/>
    </xf>
    <xf numFmtId="0" fontId="3" fillId="0" borderId="17" xfId="0" applyFont="1" applyFill="1" applyBorder="1" applyAlignment="1" applyProtection="1">
      <alignment vertical="center"/>
      <protection/>
    </xf>
    <xf numFmtId="199" fontId="3" fillId="0" borderId="11" xfId="0" applyNumberFormat="1"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23" fillId="0" borderId="11" xfId="0" applyFont="1" applyFill="1" applyBorder="1" applyAlignment="1" applyProtection="1">
      <alignment vertical="center"/>
      <protection/>
    </xf>
    <xf numFmtId="0" fontId="23" fillId="0" borderId="18" xfId="0" applyFont="1" applyFill="1" applyBorder="1" applyAlignment="1" applyProtection="1">
      <alignment vertical="center"/>
      <protection/>
    </xf>
    <xf numFmtId="14" fontId="29" fillId="0" borderId="0" xfId="0" applyNumberFormat="1" applyFont="1" applyFill="1" applyAlignment="1" applyProtection="1">
      <alignment/>
      <protection/>
    </xf>
    <xf numFmtId="0" fontId="3" fillId="34" borderId="12" xfId="0" applyFont="1" applyFill="1" applyBorder="1" applyAlignment="1" applyProtection="1">
      <alignment vertical="center"/>
      <protection/>
    </xf>
    <xf numFmtId="0" fontId="21" fillId="34" borderId="0" xfId="0" applyFont="1" applyFill="1" applyBorder="1" applyAlignment="1" applyProtection="1">
      <alignment/>
      <protection/>
    </xf>
    <xf numFmtId="0" fontId="3" fillId="34" borderId="13" xfId="0" applyFont="1" applyFill="1" applyBorder="1" applyAlignment="1" applyProtection="1">
      <alignment vertical="center"/>
      <protection/>
    </xf>
    <xf numFmtId="0" fontId="22" fillId="34" borderId="0" xfId="0" applyFont="1" applyFill="1" applyBorder="1" applyAlignment="1" applyProtection="1">
      <alignment vertical="center"/>
      <protection/>
    </xf>
    <xf numFmtId="0" fontId="23" fillId="34" borderId="13" xfId="0" applyFont="1" applyFill="1" applyBorder="1" applyAlignment="1" applyProtection="1">
      <alignment vertical="center"/>
      <protection/>
    </xf>
    <xf numFmtId="0" fontId="3" fillId="34" borderId="14" xfId="0" applyFont="1" applyFill="1" applyBorder="1" applyAlignment="1" applyProtection="1">
      <alignment vertical="center"/>
      <protection/>
    </xf>
    <xf numFmtId="0" fontId="3" fillId="34" borderId="16" xfId="0" applyFont="1" applyFill="1" applyBorder="1" applyAlignment="1" applyProtection="1">
      <alignment vertical="center"/>
      <protection/>
    </xf>
    <xf numFmtId="0" fontId="0" fillId="37" borderId="50" xfId="0" applyFill="1" applyBorder="1" applyAlignment="1" applyProtection="1">
      <alignment horizontal="center"/>
      <protection/>
    </xf>
    <xf numFmtId="0" fontId="0" fillId="37" borderId="54" xfId="0" applyFill="1" applyBorder="1" applyAlignment="1" applyProtection="1">
      <alignment horizontal="center"/>
      <protection/>
    </xf>
    <xf numFmtId="0" fontId="2" fillId="34" borderId="0" xfId="0" applyFont="1" applyFill="1" applyAlignment="1" applyProtection="1">
      <alignment vertical="center"/>
      <protection/>
    </xf>
    <xf numFmtId="0" fontId="4" fillId="33" borderId="26" xfId="0" applyFont="1" applyFill="1" applyBorder="1" applyAlignment="1" applyProtection="1">
      <alignment horizontal="centerContinuous" vertical="center"/>
      <protection/>
    </xf>
    <xf numFmtId="0" fontId="4" fillId="33" borderId="20" xfId="0" applyFont="1" applyFill="1" applyBorder="1" applyAlignment="1" applyProtection="1">
      <alignment horizontal="centerContinuous" vertical="center"/>
      <protection/>
    </xf>
    <xf numFmtId="0" fontId="4" fillId="33" borderId="19" xfId="0" applyFont="1" applyFill="1" applyBorder="1" applyAlignment="1" applyProtection="1">
      <alignment horizontal="centerContinuous" vertical="center"/>
      <protection/>
    </xf>
    <xf numFmtId="0" fontId="4" fillId="33" borderId="17" xfId="0" applyFont="1" applyFill="1" applyBorder="1" applyAlignment="1" applyProtection="1">
      <alignment horizontal="centerContinuous" vertical="center"/>
      <protection/>
    </xf>
    <xf numFmtId="0" fontId="4" fillId="33" borderId="11" xfId="0" applyFont="1" applyFill="1" applyBorder="1" applyAlignment="1" applyProtection="1">
      <alignment horizontal="centerContinuous" vertical="center"/>
      <protection/>
    </xf>
    <xf numFmtId="0" fontId="4" fillId="33" borderId="18" xfId="0" applyFont="1" applyFill="1" applyBorder="1" applyAlignment="1" applyProtection="1">
      <alignment horizontal="centerContinuous" vertical="center"/>
      <protection/>
    </xf>
    <xf numFmtId="0" fontId="2" fillId="0" borderId="0" xfId="0" applyFont="1" applyFill="1" applyBorder="1" applyAlignment="1" applyProtection="1">
      <alignment vertical="top"/>
      <protection/>
    </xf>
    <xf numFmtId="0" fontId="0" fillId="0" borderId="0" xfId="0" applyFont="1" applyFill="1" applyBorder="1" applyAlignment="1" applyProtection="1">
      <alignment horizontal="center" vertical="top"/>
      <protection/>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39" fillId="33" borderId="0" xfId="0" applyFont="1" applyFill="1" applyBorder="1" applyAlignment="1" applyProtection="1">
      <alignment vertical="center"/>
      <protection/>
    </xf>
    <xf numFmtId="0" fontId="0" fillId="0" borderId="0" xfId="0" applyFont="1" applyAlignment="1">
      <alignment vertical="center"/>
    </xf>
    <xf numFmtId="0" fontId="2" fillId="33" borderId="17" xfId="0" applyFont="1" applyFill="1"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0" xfId="0" applyAlignment="1" applyProtection="1">
      <alignment horizontal="center" vertical="center"/>
      <protection/>
    </xf>
    <xf numFmtId="0" fontId="0" fillId="0" borderId="13" xfId="0" applyBorder="1" applyAlignment="1" applyProtection="1">
      <alignment horizontal="center" vertical="center"/>
      <protection/>
    </xf>
    <xf numFmtId="0" fontId="3" fillId="33" borderId="17" xfId="0" applyFont="1" applyFill="1" applyBorder="1" applyAlignment="1" applyProtection="1">
      <alignment horizontal="center" vertical="center" textRotation="255"/>
      <protection/>
    </xf>
    <xf numFmtId="0" fontId="3" fillId="33" borderId="18" xfId="0" applyFont="1" applyFill="1" applyBorder="1" applyAlignment="1" applyProtection="1">
      <alignment horizontal="center" vertical="center" textRotation="255"/>
      <protection/>
    </xf>
    <xf numFmtId="0" fontId="3" fillId="33" borderId="12" xfId="0" applyFont="1" applyFill="1" applyBorder="1" applyAlignment="1" applyProtection="1">
      <alignment horizontal="center" vertical="center" textRotation="255"/>
      <protection/>
    </xf>
    <xf numFmtId="0" fontId="3" fillId="33" borderId="13" xfId="0" applyFont="1" applyFill="1" applyBorder="1" applyAlignment="1" applyProtection="1">
      <alignment horizontal="center" vertical="center" textRotation="255"/>
      <protection/>
    </xf>
    <xf numFmtId="0" fontId="3" fillId="33" borderId="14" xfId="0" applyFont="1" applyFill="1" applyBorder="1" applyAlignment="1" applyProtection="1">
      <alignment horizontal="center" vertical="center" textRotation="255"/>
      <protection/>
    </xf>
    <xf numFmtId="0" fontId="3" fillId="33" borderId="16" xfId="0" applyFont="1" applyFill="1" applyBorder="1" applyAlignment="1" applyProtection="1">
      <alignment horizontal="center" vertical="center" textRotation="255"/>
      <protection/>
    </xf>
    <xf numFmtId="0" fontId="6"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0" fillId="34" borderId="17" xfId="0" applyFont="1" applyFill="1" applyBorder="1" applyAlignment="1" applyProtection="1">
      <alignment horizontal="center" vertical="center"/>
      <protection/>
    </xf>
    <xf numFmtId="0" fontId="0" fillId="34" borderId="11"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xf>
    <xf numFmtId="0" fontId="0" fillId="34" borderId="14" xfId="0" applyFont="1" applyFill="1" applyBorder="1" applyAlignment="1" applyProtection="1">
      <alignment horizontal="center" vertical="center"/>
      <protection/>
    </xf>
    <xf numFmtId="0" fontId="0" fillId="34" borderId="15" xfId="0" applyFont="1" applyFill="1" applyBorder="1" applyAlignment="1" applyProtection="1">
      <alignment horizontal="center" vertical="center"/>
      <protection/>
    </xf>
    <xf numFmtId="0" fontId="0" fillId="34" borderId="16" xfId="0" applyFont="1" applyFill="1" applyBorder="1" applyAlignment="1" applyProtection="1">
      <alignment horizontal="center" vertical="center"/>
      <protection/>
    </xf>
    <xf numFmtId="0" fontId="0" fillId="34" borderId="17" xfId="0" applyFont="1" applyFill="1" applyBorder="1" applyAlignment="1" applyProtection="1">
      <alignment horizontal="center" vertical="center" shrinkToFit="1"/>
      <protection/>
    </xf>
    <xf numFmtId="0" fontId="0" fillId="34" borderId="11" xfId="0" applyFont="1" applyFill="1" applyBorder="1" applyAlignment="1" applyProtection="1">
      <alignment vertical="center" shrinkToFit="1"/>
      <protection/>
    </xf>
    <xf numFmtId="0" fontId="0" fillId="34" borderId="18" xfId="0" applyFont="1" applyFill="1" applyBorder="1" applyAlignment="1" applyProtection="1">
      <alignment vertical="center" shrinkToFit="1"/>
      <protection/>
    </xf>
    <xf numFmtId="0" fontId="0" fillId="34" borderId="14" xfId="0" applyFont="1" applyFill="1" applyBorder="1" applyAlignment="1" applyProtection="1">
      <alignment vertical="center" shrinkToFit="1"/>
      <protection/>
    </xf>
    <xf numFmtId="0" fontId="0" fillId="34" borderId="15" xfId="0" applyFont="1" applyFill="1" applyBorder="1" applyAlignment="1" applyProtection="1">
      <alignment vertical="center" shrinkToFit="1"/>
      <protection/>
    </xf>
    <xf numFmtId="0" fontId="0" fillId="34" borderId="16" xfId="0" applyFont="1" applyFill="1" applyBorder="1" applyAlignment="1" applyProtection="1">
      <alignment vertical="center" shrinkToFit="1"/>
      <protection/>
    </xf>
    <xf numFmtId="0" fontId="0" fillId="34" borderId="26" xfId="0" applyNumberFormat="1" applyFont="1" applyFill="1" applyBorder="1" applyAlignment="1" applyProtection="1">
      <alignment horizontal="center" vertical="center"/>
      <protection/>
    </xf>
    <xf numFmtId="0" fontId="0" fillId="34" borderId="20" xfId="0" applyNumberFormat="1" applyFont="1" applyFill="1" applyBorder="1" applyAlignment="1" applyProtection="1">
      <alignment horizontal="center" vertical="center"/>
      <protection/>
    </xf>
    <xf numFmtId="0" fontId="0" fillId="34" borderId="19" xfId="0" applyNumberFormat="1" applyFont="1" applyFill="1" applyBorder="1" applyAlignment="1" applyProtection="1">
      <alignment horizontal="center" vertical="center"/>
      <protection/>
    </xf>
    <xf numFmtId="58" fontId="26" fillId="34" borderId="0" xfId="0" applyNumberFormat="1" applyFont="1" applyFill="1" applyAlignment="1" applyProtection="1">
      <alignment horizontal="center" vertical="center"/>
      <protection/>
    </xf>
    <xf numFmtId="0" fontId="26" fillId="34" borderId="55" xfId="0" applyFont="1" applyFill="1" applyBorder="1" applyAlignment="1" applyProtection="1">
      <alignment horizontal="center" vertical="center" shrinkToFit="1"/>
      <protection/>
    </xf>
    <xf numFmtId="0" fontId="26" fillId="34" borderId="56" xfId="0" applyFont="1" applyFill="1" applyBorder="1" applyAlignment="1" applyProtection="1">
      <alignment horizontal="center" vertical="center" shrinkToFit="1"/>
      <protection/>
    </xf>
    <xf numFmtId="0" fontId="26" fillId="34" borderId="57" xfId="0" applyFont="1" applyFill="1" applyBorder="1" applyAlignment="1" applyProtection="1">
      <alignment horizontal="center" vertical="center" shrinkToFit="1"/>
      <protection/>
    </xf>
    <xf numFmtId="0" fontId="26" fillId="0" borderId="0" xfId="0" applyFont="1" applyAlignment="1" applyProtection="1">
      <alignment vertical="center"/>
      <protection/>
    </xf>
    <xf numFmtId="0" fontId="6" fillId="0" borderId="0" xfId="0" applyFont="1" applyFill="1" applyBorder="1" applyAlignment="1" applyProtection="1">
      <alignment horizontal="center" vertical="center" shrinkToFit="1"/>
      <protection/>
    </xf>
    <xf numFmtId="0" fontId="26" fillId="0" borderId="0" xfId="0" applyFont="1" applyFill="1" applyBorder="1" applyAlignment="1" applyProtection="1">
      <alignment horizontal="center" vertical="center" shrinkToFit="1"/>
      <protection/>
    </xf>
    <xf numFmtId="0" fontId="26" fillId="0" borderId="0" xfId="0" applyFont="1" applyAlignment="1" applyProtection="1">
      <alignment horizontal="left" vertical="center"/>
      <protection/>
    </xf>
    <xf numFmtId="0" fontId="5" fillId="0" borderId="0" xfId="0" applyFont="1" applyFill="1" applyAlignment="1" applyProtection="1">
      <alignment horizontal="center" vertical="center"/>
      <protection/>
    </xf>
    <xf numFmtId="0" fontId="6" fillId="0" borderId="14" xfId="0" applyFont="1" applyBorder="1" applyAlignment="1" applyProtection="1">
      <alignment horizontal="center" vertical="center" shrinkToFit="1"/>
      <protection/>
    </xf>
    <xf numFmtId="0" fontId="0" fillId="0" borderId="15" xfId="0" applyBorder="1" applyAlignment="1" applyProtection="1">
      <alignment horizontal="center" vertical="center"/>
      <protection/>
    </xf>
    <xf numFmtId="0" fontId="0" fillId="0" borderId="16" xfId="0" applyBorder="1" applyAlignment="1" applyProtection="1">
      <alignment horizontal="center" vertical="center"/>
      <protection/>
    </xf>
    <xf numFmtId="190" fontId="25" fillId="0" borderId="0" xfId="0" applyNumberFormat="1" applyFont="1" applyFill="1" applyBorder="1" applyAlignment="1" applyProtection="1">
      <alignment horizontal="center" vertical="center"/>
      <protection/>
    </xf>
    <xf numFmtId="190" fontId="25" fillId="0" borderId="15" xfId="0" applyNumberFormat="1" applyFont="1" applyFill="1" applyBorder="1" applyAlignment="1" applyProtection="1">
      <alignment horizontal="center" vertical="center"/>
      <protection/>
    </xf>
    <xf numFmtId="0" fontId="26" fillId="34" borderId="0" xfId="0" applyFont="1" applyFill="1" applyBorder="1" applyAlignment="1" applyProtection="1">
      <alignment horizontal="center" vertical="center"/>
      <protection/>
    </xf>
    <xf numFmtId="0" fontId="26" fillId="34" borderId="15" xfId="0" applyFont="1" applyFill="1" applyBorder="1" applyAlignment="1" applyProtection="1">
      <alignment horizontal="center" vertical="center"/>
      <protection/>
    </xf>
    <xf numFmtId="0" fontId="38" fillId="0" borderId="17" xfId="0" applyFont="1" applyFill="1" applyBorder="1" applyAlignment="1" applyProtection="1">
      <alignment horizontal="center" vertical="center"/>
      <protection/>
    </xf>
    <xf numFmtId="0" fontId="38" fillId="0" borderId="11" xfId="0" applyFont="1" applyFill="1" applyBorder="1" applyAlignment="1" applyProtection="1">
      <alignment/>
      <protection/>
    </xf>
    <xf numFmtId="0" fontId="38" fillId="0" borderId="18" xfId="0" applyFont="1" applyFill="1" applyBorder="1" applyAlignment="1" applyProtection="1">
      <alignment/>
      <protection/>
    </xf>
    <xf numFmtId="0" fontId="38" fillId="0" borderId="12" xfId="0" applyFont="1" applyFill="1" applyBorder="1" applyAlignment="1" applyProtection="1">
      <alignment/>
      <protection/>
    </xf>
    <xf numFmtId="0" fontId="38" fillId="0" borderId="0" xfId="0" applyFont="1" applyFill="1" applyBorder="1" applyAlignment="1" applyProtection="1">
      <alignment/>
      <protection/>
    </xf>
    <xf numFmtId="0" fontId="38" fillId="0" borderId="13" xfId="0" applyFont="1" applyFill="1" applyBorder="1" applyAlignment="1" applyProtection="1">
      <alignment/>
      <protection/>
    </xf>
    <xf numFmtId="0" fontId="38" fillId="0" borderId="14" xfId="0" applyFont="1" applyFill="1" applyBorder="1" applyAlignment="1" applyProtection="1">
      <alignment/>
      <protection/>
    </xf>
    <xf numFmtId="0" fontId="38" fillId="0" borderId="15" xfId="0" applyFont="1" applyFill="1" applyBorder="1" applyAlignment="1" applyProtection="1">
      <alignment/>
      <protection/>
    </xf>
    <xf numFmtId="0" fontId="38" fillId="0" borderId="16" xfId="0" applyFont="1" applyFill="1" applyBorder="1" applyAlignment="1" applyProtection="1">
      <alignment/>
      <protection/>
    </xf>
    <xf numFmtId="0" fontId="8" fillId="0" borderId="11" xfId="0" applyFont="1" applyFill="1" applyBorder="1" applyAlignment="1" applyProtection="1">
      <alignment horizontal="center" vertical="center"/>
      <protection/>
    </xf>
    <xf numFmtId="0" fontId="0" fillId="0" borderId="11" xfId="0" applyBorder="1" applyAlignment="1" applyProtection="1">
      <alignment/>
      <protection/>
    </xf>
    <xf numFmtId="0" fontId="0" fillId="0" borderId="0" xfId="0" applyAlignment="1" applyProtection="1">
      <alignment/>
      <protection/>
    </xf>
    <xf numFmtId="0" fontId="0" fillId="0" borderId="15" xfId="0" applyBorder="1" applyAlignment="1" applyProtection="1">
      <alignment/>
      <protection/>
    </xf>
    <xf numFmtId="0" fontId="4" fillId="0" borderId="17" xfId="0" applyFont="1" applyFill="1" applyBorder="1" applyAlignment="1" applyProtection="1">
      <alignment vertical="center"/>
      <protection/>
    </xf>
    <xf numFmtId="0" fontId="0" fillId="0" borderId="14" xfId="0" applyBorder="1" applyAlignment="1" applyProtection="1">
      <alignment/>
      <protection/>
    </xf>
    <xf numFmtId="0" fontId="6" fillId="0" borderId="17"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0" fillId="0" borderId="11" xfId="0" applyBorder="1" applyAlignment="1" applyProtection="1">
      <alignment vertical="center"/>
      <protection/>
    </xf>
    <xf numFmtId="0" fontId="0" fillId="0" borderId="18" xfId="0" applyBorder="1" applyAlignment="1" applyProtection="1">
      <alignment vertical="center"/>
      <protection/>
    </xf>
    <xf numFmtId="0" fontId="6" fillId="0" borderId="14" xfId="0" applyFont="1" applyFill="1" applyBorder="1" applyAlignment="1" applyProtection="1">
      <alignment vertical="center"/>
      <protection/>
    </xf>
    <xf numFmtId="0" fontId="6" fillId="0" borderId="15" xfId="0" applyFont="1" applyFill="1" applyBorder="1" applyAlignment="1" applyProtection="1">
      <alignment vertical="center"/>
      <protection/>
    </xf>
    <xf numFmtId="0" fontId="0" fillId="0" borderId="15" xfId="0" applyBorder="1" applyAlignment="1" applyProtection="1">
      <alignment vertical="center"/>
      <protection/>
    </xf>
    <xf numFmtId="0" fontId="0" fillId="0" borderId="16" xfId="0" applyBorder="1" applyAlignment="1" applyProtection="1">
      <alignment vertical="center"/>
      <protection/>
    </xf>
    <xf numFmtId="184" fontId="37" fillId="34" borderId="17" xfId="0" applyNumberFormat="1" applyFont="1" applyFill="1" applyBorder="1" applyAlignment="1" applyProtection="1">
      <alignment horizontal="center" vertical="center"/>
      <protection/>
    </xf>
    <xf numFmtId="0" fontId="37" fillId="34" borderId="11" xfId="0" applyFont="1" applyFill="1" applyBorder="1" applyAlignment="1" applyProtection="1">
      <alignment horizontal="center"/>
      <protection/>
    </xf>
    <xf numFmtId="0" fontId="37" fillId="34" borderId="12" xfId="0" applyFont="1" applyFill="1" applyBorder="1" applyAlignment="1" applyProtection="1">
      <alignment horizontal="center"/>
      <protection/>
    </xf>
    <xf numFmtId="0" fontId="37" fillId="34" borderId="0" xfId="0" applyFont="1" applyFill="1" applyAlignment="1" applyProtection="1">
      <alignment horizontal="center"/>
      <protection/>
    </xf>
    <xf numFmtId="0" fontId="37" fillId="34" borderId="14" xfId="0" applyFont="1" applyFill="1" applyBorder="1" applyAlignment="1" applyProtection="1">
      <alignment horizontal="center"/>
      <protection/>
    </xf>
    <xf numFmtId="0" fontId="37" fillId="34" borderId="15" xfId="0" applyFont="1" applyFill="1" applyBorder="1" applyAlignment="1" applyProtection="1">
      <alignment horizontal="center"/>
      <protection/>
    </xf>
    <xf numFmtId="0" fontId="37" fillId="34" borderId="12" xfId="0" applyFont="1" applyFill="1" applyBorder="1" applyAlignment="1" applyProtection="1" quotePrefix="1">
      <alignment horizontal="center" vertical="center"/>
      <protection/>
    </xf>
    <xf numFmtId="0" fontId="37" fillId="34" borderId="0" xfId="0" applyFont="1" applyFill="1" applyAlignment="1" applyProtection="1">
      <alignment horizontal="center" vertical="center"/>
      <protection/>
    </xf>
    <xf numFmtId="0" fontId="37" fillId="34" borderId="13" xfId="0" applyFont="1" applyFill="1" applyBorder="1" applyAlignment="1" applyProtection="1">
      <alignment horizontal="center" vertical="center"/>
      <protection/>
    </xf>
    <xf numFmtId="0" fontId="37" fillId="34" borderId="12" xfId="0" applyFont="1" applyFill="1" applyBorder="1" applyAlignment="1" applyProtection="1">
      <alignment horizontal="center" vertical="center"/>
      <protection/>
    </xf>
    <xf numFmtId="0" fontId="37" fillId="34" borderId="14" xfId="0" applyFont="1" applyFill="1" applyBorder="1" applyAlignment="1" applyProtection="1">
      <alignment horizontal="center" vertical="center"/>
      <protection/>
    </xf>
    <xf numFmtId="0" fontId="37" fillId="34" borderId="15" xfId="0" applyFont="1" applyFill="1" applyBorder="1" applyAlignment="1" applyProtection="1">
      <alignment horizontal="center" vertical="center"/>
      <protection/>
    </xf>
    <xf numFmtId="0" fontId="37" fillId="34" borderId="16" xfId="0" applyFont="1" applyFill="1" applyBorder="1" applyAlignment="1" applyProtection="1">
      <alignment horizontal="center" vertical="center"/>
      <protection/>
    </xf>
    <xf numFmtId="0" fontId="0" fillId="34" borderId="17" xfId="0" applyNumberFormat="1" applyFont="1" applyFill="1" applyBorder="1" applyAlignment="1" applyProtection="1">
      <alignment horizontal="center" vertical="center"/>
      <protection/>
    </xf>
    <xf numFmtId="0" fontId="0" fillId="34" borderId="11" xfId="0" applyNumberFormat="1" applyFont="1" applyFill="1" applyBorder="1" applyAlignment="1" applyProtection="1">
      <alignment horizontal="center" vertical="center"/>
      <protection/>
    </xf>
    <xf numFmtId="0" fontId="0" fillId="34" borderId="18" xfId="0" applyNumberFormat="1" applyFont="1" applyFill="1" applyBorder="1" applyAlignment="1" applyProtection="1">
      <alignment horizontal="center" vertical="center"/>
      <protection/>
    </xf>
    <xf numFmtId="0" fontId="0" fillId="34" borderId="12" xfId="0" applyNumberFormat="1" applyFont="1" applyFill="1" applyBorder="1" applyAlignment="1" applyProtection="1">
      <alignment horizontal="center" vertical="center"/>
      <protection/>
    </xf>
    <xf numFmtId="0" fontId="0" fillId="34" borderId="0" xfId="0" applyNumberFormat="1" applyFont="1" applyFill="1" applyBorder="1" applyAlignment="1" applyProtection="1">
      <alignment horizontal="center" vertical="center"/>
      <protection/>
    </xf>
    <xf numFmtId="0" fontId="0" fillId="34" borderId="13" xfId="0" applyNumberFormat="1" applyFont="1" applyFill="1" applyBorder="1" applyAlignment="1" applyProtection="1">
      <alignment horizontal="center" vertical="center"/>
      <protection/>
    </xf>
    <xf numFmtId="0" fontId="0" fillId="34" borderId="14" xfId="0" applyNumberFormat="1" applyFont="1" applyFill="1" applyBorder="1" applyAlignment="1" applyProtection="1">
      <alignment horizontal="center" vertical="center"/>
      <protection/>
    </xf>
    <xf numFmtId="0" fontId="0" fillId="34" borderId="15" xfId="0" applyNumberFormat="1" applyFont="1" applyFill="1" applyBorder="1" applyAlignment="1" applyProtection="1">
      <alignment horizontal="center" vertical="center"/>
      <protection/>
    </xf>
    <xf numFmtId="0" fontId="0" fillId="34" borderId="16" xfId="0" applyNumberFormat="1" applyFont="1" applyFill="1" applyBorder="1" applyAlignment="1" applyProtection="1">
      <alignment horizontal="center" vertical="center"/>
      <protection/>
    </xf>
    <xf numFmtId="189" fontId="25" fillId="34" borderId="12" xfId="0" applyNumberFormat="1" applyFont="1" applyFill="1" applyBorder="1" applyAlignment="1" applyProtection="1">
      <alignment horizontal="center" vertical="center"/>
      <protection/>
    </xf>
    <xf numFmtId="189" fontId="25" fillId="34" borderId="0" xfId="0" applyNumberFormat="1" applyFont="1" applyFill="1" applyBorder="1" applyAlignment="1" applyProtection="1">
      <alignment horizontal="center" vertical="center"/>
      <protection/>
    </xf>
    <xf numFmtId="189" fontId="25" fillId="34" borderId="0" xfId="0" applyNumberFormat="1" applyFont="1" applyFill="1" applyAlignment="1" applyProtection="1">
      <alignment/>
      <protection/>
    </xf>
    <xf numFmtId="189" fontId="25" fillId="34" borderId="14" xfId="0" applyNumberFormat="1" applyFont="1" applyFill="1" applyBorder="1" applyAlignment="1" applyProtection="1">
      <alignment horizontal="center" vertical="center"/>
      <protection/>
    </xf>
    <xf numFmtId="189" fontId="25" fillId="34" borderId="15" xfId="0" applyNumberFormat="1" applyFont="1" applyFill="1" applyBorder="1" applyAlignment="1" applyProtection="1">
      <alignment horizontal="center" vertical="center"/>
      <protection/>
    </xf>
    <xf numFmtId="189" fontId="25" fillId="34" borderId="15" xfId="0" applyNumberFormat="1" applyFont="1" applyFill="1" applyBorder="1" applyAlignment="1" applyProtection="1">
      <alignment/>
      <protection/>
    </xf>
    <xf numFmtId="0" fontId="25" fillId="34" borderId="0" xfId="0" applyFont="1" applyFill="1" applyBorder="1" applyAlignment="1" applyProtection="1">
      <alignment horizontal="center" vertical="center"/>
      <protection/>
    </xf>
    <xf numFmtId="0" fontId="25" fillId="34" borderId="15" xfId="0" applyFont="1" applyFill="1" applyBorder="1" applyAlignment="1" applyProtection="1">
      <alignment horizontal="center" vertical="center"/>
      <protection/>
    </xf>
    <xf numFmtId="0" fontId="4" fillId="33" borderId="17" xfId="0" applyFont="1" applyFill="1" applyBorder="1" applyAlignment="1" applyProtection="1">
      <alignment horizontal="center" vertical="center" wrapText="1"/>
      <protection/>
    </xf>
    <xf numFmtId="0" fontId="0" fillId="0" borderId="0" xfId="0" applyBorder="1" applyAlignment="1" applyProtection="1">
      <alignment horizontal="center" vertical="center"/>
      <protection/>
    </xf>
    <xf numFmtId="0" fontId="0" fillId="0" borderId="14" xfId="0" applyBorder="1" applyAlignment="1" applyProtection="1">
      <alignment horizontal="center" vertical="center"/>
      <protection/>
    </xf>
    <xf numFmtId="0" fontId="3" fillId="33" borderId="17" xfId="0"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xf>
    <xf numFmtId="0" fontId="3" fillId="33" borderId="12"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textRotation="255"/>
      <protection/>
    </xf>
    <xf numFmtId="0" fontId="3" fillId="33" borderId="0" xfId="0" applyFont="1" applyFill="1" applyBorder="1" applyAlignment="1" applyProtection="1">
      <alignment horizontal="center" vertical="center" textRotation="255"/>
      <protection/>
    </xf>
    <xf numFmtId="0" fontId="0" fillId="34" borderId="0" xfId="0" applyNumberFormat="1" applyFont="1" applyFill="1" applyAlignment="1" applyProtection="1">
      <alignment horizontal="center" vertical="center"/>
      <protection/>
    </xf>
    <xf numFmtId="189" fontId="25" fillId="0" borderId="12" xfId="0" applyNumberFormat="1" applyFont="1" applyFill="1" applyBorder="1" applyAlignment="1" applyProtection="1">
      <alignment horizontal="center" vertical="center"/>
      <protection/>
    </xf>
    <xf numFmtId="189" fontId="25" fillId="0" borderId="0" xfId="0" applyNumberFormat="1" applyFont="1" applyFill="1" applyBorder="1" applyAlignment="1" applyProtection="1">
      <alignment horizontal="center" vertical="center"/>
      <protection/>
    </xf>
    <xf numFmtId="189" fontId="25" fillId="0" borderId="0" xfId="0" applyNumberFormat="1" applyFont="1" applyFill="1" applyAlignment="1" applyProtection="1">
      <alignment/>
      <protection/>
    </xf>
    <xf numFmtId="189" fontId="25" fillId="0" borderId="14" xfId="0" applyNumberFormat="1" applyFont="1" applyFill="1" applyBorder="1" applyAlignment="1" applyProtection="1">
      <alignment horizontal="center" vertical="center"/>
      <protection/>
    </xf>
    <xf numFmtId="189" fontId="25" fillId="0" borderId="15" xfId="0" applyNumberFormat="1" applyFont="1" applyFill="1" applyBorder="1" applyAlignment="1" applyProtection="1">
      <alignment horizontal="center" vertical="center"/>
      <protection/>
    </xf>
    <xf numFmtId="189" fontId="25" fillId="0" borderId="15" xfId="0" applyNumberFormat="1" applyFont="1" applyFill="1" applyBorder="1" applyAlignment="1" applyProtection="1">
      <alignment/>
      <protection/>
    </xf>
    <xf numFmtId="0" fontId="3" fillId="33" borderId="18" xfId="0" applyFont="1" applyFill="1" applyBorder="1" applyAlignment="1" applyProtection="1">
      <alignment horizontal="center" vertical="center"/>
      <protection/>
    </xf>
    <xf numFmtId="0" fontId="3" fillId="33" borderId="13" xfId="0" applyFont="1" applyFill="1" applyBorder="1" applyAlignment="1" applyProtection="1">
      <alignment horizontal="center" vertical="center"/>
      <protection/>
    </xf>
    <xf numFmtId="0" fontId="3" fillId="33" borderId="14" xfId="0" applyFont="1" applyFill="1" applyBorder="1" applyAlignment="1" applyProtection="1">
      <alignment horizontal="center" vertical="center"/>
      <protection/>
    </xf>
    <xf numFmtId="0" fontId="3" fillId="33" borderId="15" xfId="0" applyFont="1" applyFill="1" applyBorder="1" applyAlignment="1" applyProtection="1">
      <alignment horizontal="center" vertical="center"/>
      <protection/>
    </xf>
    <xf numFmtId="0" fontId="3" fillId="33" borderId="16" xfId="0" applyFont="1" applyFill="1" applyBorder="1" applyAlignment="1" applyProtection="1">
      <alignment horizontal="center" vertical="center"/>
      <protection/>
    </xf>
    <xf numFmtId="0" fontId="4" fillId="33" borderId="17"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xf>
    <xf numFmtId="0" fontId="4" fillId="33" borderId="18"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4" fillId="33" borderId="13"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4" fillId="33" borderId="15" xfId="0" applyFont="1" applyFill="1" applyBorder="1" applyAlignment="1" applyProtection="1">
      <alignment horizontal="center" vertical="center"/>
      <protection/>
    </xf>
    <xf numFmtId="0" fontId="4" fillId="33" borderId="16" xfId="0" applyFont="1" applyFill="1" applyBorder="1" applyAlignment="1" applyProtection="1">
      <alignment horizontal="center" vertical="center"/>
      <protection/>
    </xf>
    <xf numFmtId="0" fontId="7" fillId="40" borderId="17" xfId="0" applyFont="1" applyFill="1" applyBorder="1" applyAlignment="1" applyProtection="1">
      <alignment horizontal="center" vertical="center" wrapText="1"/>
      <protection/>
    </xf>
    <xf numFmtId="0" fontId="7" fillId="40" borderId="11" xfId="0" applyFont="1" applyFill="1" applyBorder="1" applyAlignment="1" applyProtection="1">
      <alignment horizontal="center" vertical="center" wrapText="1"/>
      <protection/>
    </xf>
    <xf numFmtId="0" fontId="7" fillId="40" borderId="12" xfId="0" applyFont="1" applyFill="1" applyBorder="1" applyAlignment="1" applyProtection="1">
      <alignment horizontal="center" vertical="center" wrapText="1"/>
      <protection/>
    </xf>
    <xf numFmtId="0" fontId="7" fillId="40" borderId="0" xfId="0" applyFont="1" applyFill="1" applyBorder="1" applyAlignment="1" applyProtection="1">
      <alignment horizontal="center" vertical="center" wrapText="1"/>
      <protection/>
    </xf>
    <xf numFmtId="0" fontId="7" fillId="40" borderId="14" xfId="0" applyFont="1" applyFill="1" applyBorder="1" applyAlignment="1" applyProtection="1">
      <alignment horizontal="center" vertical="center" wrapText="1"/>
      <protection/>
    </xf>
    <xf numFmtId="0" fontId="7" fillId="40" borderId="15" xfId="0" applyFont="1" applyFill="1" applyBorder="1" applyAlignment="1" applyProtection="1">
      <alignment horizontal="center" vertical="center" wrapText="1"/>
      <protection/>
    </xf>
    <xf numFmtId="0" fontId="27" fillId="33" borderId="17" xfId="0" applyFont="1" applyFill="1" applyBorder="1" applyAlignment="1" applyProtection="1">
      <alignment horizontal="center" vertical="center"/>
      <protection/>
    </xf>
    <xf numFmtId="0" fontId="27" fillId="0" borderId="11" xfId="0" applyFont="1" applyBorder="1" applyAlignment="1" applyProtection="1">
      <alignment horizontal="center" vertical="center"/>
      <protection/>
    </xf>
    <xf numFmtId="0" fontId="27" fillId="0" borderId="14" xfId="0" applyFont="1" applyBorder="1" applyAlignment="1" applyProtection="1">
      <alignment horizontal="center" vertical="center"/>
      <protection/>
    </xf>
    <xf numFmtId="0" fontId="27" fillId="0" borderId="15" xfId="0" applyFont="1" applyBorder="1" applyAlignment="1" applyProtection="1">
      <alignment horizontal="center" vertical="center"/>
      <protection/>
    </xf>
    <xf numFmtId="0" fontId="0" fillId="34" borderId="17" xfId="0" applyFont="1" applyFill="1" applyBorder="1" applyAlignment="1" applyProtection="1">
      <alignment horizontal="center" vertical="center" wrapText="1"/>
      <protection/>
    </xf>
    <xf numFmtId="0" fontId="0" fillId="34" borderId="11" xfId="0" applyFont="1" applyFill="1" applyBorder="1" applyAlignment="1" applyProtection="1">
      <alignment horizontal="center" vertical="center" wrapText="1"/>
      <protection/>
    </xf>
    <xf numFmtId="0" fontId="0" fillId="34" borderId="18" xfId="0" applyFont="1" applyFill="1" applyBorder="1" applyAlignment="1" applyProtection="1">
      <alignment horizontal="center" vertical="center" wrapText="1"/>
      <protection/>
    </xf>
    <xf numFmtId="0" fontId="0" fillId="34" borderId="14" xfId="0" applyFont="1" applyFill="1" applyBorder="1" applyAlignment="1" applyProtection="1">
      <alignment horizontal="center" vertical="center" wrapText="1"/>
      <protection/>
    </xf>
    <xf numFmtId="0" fontId="0" fillId="34" borderId="15" xfId="0" applyFont="1" applyFill="1" applyBorder="1" applyAlignment="1" applyProtection="1">
      <alignment horizontal="center" vertical="center" wrapText="1"/>
      <protection/>
    </xf>
    <xf numFmtId="0" fontId="0" fillId="34" borderId="16" xfId="0" applyFont="1" applyFill="1" applyBorder="1" applyAlignment="1" applyProtection="1">
      <alignment horizontal="center" vertical="center" wrapText="1"/>
      <protection/>
    </xf>
    <xf numFmtId="0" fontId="31" fillId="41" borderId="39" xfId="0" applyFont="1" applyFill="1" applyBorder="1" applyAlignment="1" applyProtection="1">
      <alignment horizontal="center" vertical="center"/>
      <protection/>
    </xf>
    <xf numFmtId="0" fontId="31" fillId="41" borderId="58" xfId="0" applyFont="1" applyFill="1" applyBorder="1" applyAlignment="1" applyProtection="1">
      <alignment horizontal="center" vertical="center"/>
      <protection/>
    </xf>
    <xf numFmtId="0" fontId="31" fillId="41" borderId="53" xfId="0" applyFont="1" applyFill="1" applyBorder="1" applyAlignment="1" applyProtection="1">
      <alignment horizontal="center" vertical="center"/>
      <protection/>
    </xf>
    <xf numFmtId="195" fontId="14" fillId="0" borderId="26" xfId="0" applyNumberFormat="1" applyFont="1" applyFill="1" applyBorder="1" applyAlignment="1" applyProtection="1">
      <alignment horizontal="center" vertical="center"/>
      <protection/>
    </xf>
    <xf numFmtId="195" fontId="14" fillId="0" borderId="20" xfId="0" applyNumberFormat="1" applyFont="1" applyFill="1" applyBorder="1" applyAlignment="1" applyProtection="1">
      <alignment horizontal="center" vertical="center"/>
      <protection/>
    </xf>
    <xf numFmtId="196" fontId="14" fillId="0" borderId="26" xfId="0" applyNumberFormat="1" applyFont="1" applyFill="1" applyBorder="1" applyAlignment="1" applyProtection="1">
      <alignment horizontal="center" vertical="center"/>
      <protection/>
    </xf>
    <xf numFmtId="196" fontId="14" fillId="0" borderId="20" xfId="0" applyNumberFormat="1" applyFont="1" applyFill="1" applyBorder="1" applyAlignment="1" applyProtection="1">
      <alignment horizontal="center" vertical="center"/>
      <protection/>
    </xf>
    <xf numFmtId="0" fontId="34" fillId="0" borderId="59" xfId="0" applyFont="1" applyBorder="1" applyAlignment="1" applyProtection="1">
      <alignment horizontal="center" vertical="center"/>
      <protection/>
    </xf>
    <xf numFmtId="0" fontId="35" fillId="0" borderId="60" xfId="0" applyFont="1" applyBorder="1" applyAlignment="1" applyProtection="1">
      <alignment horizontal="center" vertical="center"/>
      <protection/>
    </xf>
    <xf numFmtId="0" fontId="35" fillId="0" borderId="61" xfId="0" applyFont="1" applyBorder="1" applyAlignment="1" applyProtection="1">
      <alignment horizontal="center" vertical="center"/>
      <protection/>
    </xf>
    <xf numFmtId="0" fontId="10" fillId="33" borderId="26" xfId="0" applyFont="1" applyFill="1" applyBorder="1" applyAlignment="1" applyProtection="1">
      <alignment horizontal="center" vertical="center"/>
      <protection/>
    </xf>
    <xf numFmtId="0" fontId="10" fillId="33" borderId="20" xfId="0" applyFont="1" applyFill="1" applyBorder="1" applyAlignment="1" applyProtection="1">
      <alignment horizontal="center" vertical="center"/>
      <protection/>
    </xf>
    <xf numFmtId="0" fontId="10" fillId="33" borderId="19" xfId="0" applyFont="1" applyFill="1" applyBorder="1" applyAlignment="1" applyProtection="1">
      <alignment horizontal="center" vertical="center"/>
      <protection/>
    </xf>
    <xf numFmtId="0" fontId="27" fillId="42" borderId="15" xfId="0" applyFont="1" applyFill="1" applyBorder="1" applyAlignment="1" applyProtection="1">
      <alignment horizontal="center" vertical="center"/>
      <protection/>
    </xf>
    <xf numFmtId="0" fontId="27" fillId="42" borderId="0" xfId="0" applyFont="1" applyFill="1" applyBorder="1" applyAlignment="1" applyProtection="1">
      <alignment horizontal="center" vertical="center"/>
      <protection/>
    </xf>
    <xf numFmtId="0" fontId="6" fillId="0" borderId="17" xfId="0" applyFont="1" applyFill="1" applyBorder="1" applyAlignment="1" applyProtection="1">
      <alignment horizontal="center" vertical="center" wrapText="1"/>
      <protection/>
    </xf>
    <xf numFmtId="0" fontId="0" fillId="0" borderId="18"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6" xfId="0" applyBorder="1" applyAlignment="1" applyProtection="1">
      <alignment/>
      <protection/>
    </xf>
    <xf numFmtId="188" fontId="6" fillId="33" borderId="17" xfId="0" applyNumberFormat="1" applyFont="1" applyFill="1" applyBorder="1" applyAlignment="1" applyProtection="1">
      <alignment horizontal="center" vertical="center" shrinkToFit="1"/>
      <protection/>
    </xf>
    <xf numFmtId="0" fontId="33" fillId="0" borderId="61" xfId="0" applyFont="1" applyFill="1" applyBorder="1" applyAlignment="1" applyProtection="1">
      <alignment horizontal="center" vertical="center"/>
      <protection/>
    </xf>
    <xf numFmtId="0" fontId="33" fillId="0" borderId="62" xfId="0" applyFont="1" applyFill="1" applyBorder="1" applyAlignment="1" applyProtection="1">
      <alignment horizontal="center" vertical="center"/>
      <protection/>
    </xf>
    <xf numFmtId="0" fontId="34" fillId="0" borderId="60" xfId="0" applyFont="1" applyBorder="1" applyAlignment="1" applyProtection="1">
      <alignment horizontal="center" vertical="center"/>
      <protection/>
    </xf>
    <xf numFmtId="0" fontId="34" fillId="0" borderId="61" xfId="0" applyFont="1" applyBorder="1" applyAlignment="1" applyProtection="1">
      <alignment horizontal="center" vertical="center"/>
      <protection/>
    </xf>
    <xf numFmtId="0" fontId="29" fillId="0" borderId="17" xfId="0" applyFont="1" applyFill="1" applyBorder="1" applyAlignment="1" applyProtection="1">
      <alignment horizontal="center" vertical="center"/>
      <protection/>
    </xf>
    <xf numFmtId="0" fontId="29" fillId="0" borderId="11" xfId="0" applyFont="1" applyFill="1" applyBorder="1" applyAlignment="1" applyProtection="1">
      <alignment horizontal="center" vertical="center"/>
      <protection/>
    </xf>
    <xf numFmtId="0" fontId="29" fillId="0" borderId="14" xfId="0" applyFont="1" applyFill="1" applyBorder="1" applyAlignment="1" applyProtection="1">
      <alignment horizontal="center" vertical="center"/>
      <protection/>
    </xf>
    <xf numFmtId="0" fontId="29" fillId="0" borderId="15" xfId="0" applyFont="1" applyFill="1" applyBorder="1" applyAlignment="1" applyProtection="1">
      <alignment horizontal="center" vertical="center"/>
      <protection/>
    </xf>
    <xf numFmtId="0" fontId="12" fillId="0" borderId="11"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15" xfId="0" applyFont="1" applyFill="1" applyBorder="1" applyAlignment="1" applyProtection="1">
      <alignment horizontal="center" vertical="center"/>
      <protection/>
    </xf>
    <xf numFmtId="0" fontId="3" fillId="33" borderId="11" xfId="0" applyFont="1" applyFill="1" applyBorder="1" applyAlignment="1" applyProtection="1">
      <alignment horizontal="left" vertical="center"/>
      <protection/>
    </xf>
    <xf numFmtId="0" fontId="3" fillId="33" borderId="18"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protection/>
    </xf>
    <xf numFmtId="0" fontId="3" fillId="33" borderId="13" xfId="0" applyFont="1" applyFill="1" applyBorder="1" applyAlignment="1" applyProtection="1">
      <alignment horizontal="left" vertical="center"/>
      <protection/>
    </xf>
    <xf numFmtId="0" fontId="3" fillId="33" borderId="15" xfId="0" applyFont="1" applyFill="1" applyBorder="1" applyAlignment="1" applyProtection="1">
      <alignment horizontal="left" vertical="center"/>
      <protection/>
    </xf>
    <xf numFmtId="0" fontId="3" fillId="33" borderId="16" xfId="0" applyFont="1" applyFill="1" applyBorder="1" applyAlignment="1" applyProtection="1">
      <alignment horizontal="left" vertical="center"/>
      <protection/>
    </xf>
    <xf numFmtId="0" fontId="3" fillId="33" borderId="17" xfId="0" applyFont="1" applyFill="1" applyBorder="1" applyAlignment="1" applyProtection="1">
      <alignment horizontal="right" vertical="center"/>
      <protection/>
    </xf>
    <xf numFmtId="0" fontId="3" fillId="33" borderId="11" xfId="0" applyFont="1" applyFill="1" applyBorder="1" applyAlignment="1" applyProtection="1">
      <alignment horizontal="right" vertical="center"/>
      <protection/>
    </xf>
    <xf numFmtId="0" fontId="3" fillId="33" borderId="12" xfId="0" applyFont="1" applyFill="1" applyBorder="1" applyAlignment="1" applyProtection="1">
      <alignment horizontal="right" vertical="center"/>
      <protection/>
    </xf>
    <xf numFmtId="0" fontId="3" fillId="33" borderId="0" xfId="0" applyFont="1" applyFill="1" applyBorder="1" applyAlignment="1" applyProtection="1">
      <alignment horizontal="right" vertical="center"/>
      <protection/>
    </xf>
    <xf numFmtId="0" fontId="3" fillId="33" borderId="14" xfId="0" applyFont="1" applyFill="1" applyBorder="1" applyAlignment="1" applyProtection="1">
      <alignment horizontal="right" vertical="center"/>
      <protection/>
    </xf>
    <xf numFmtId="0" fontId="3" fillId="33" borderId="15" xfId="0" applyFont="1" applyFill="1" applyBorder="1" applyAlignment="1" applyProtection="1">
      <alignment horizontal="right" vertical="center"/>
      <protection/>
    </xf>
    <xf numFmtId="199" fontId="3" fillId="34" borderId="0" xfId="0" applyNumberFormat="1" applyFont="1" applyFill="1" applyBorder="1" applyAlignment="1" applyProtection="1">
      <alignment vertical="center" wrapText="1"/>
      <protection/>
    </xf>
    <xf numFmtId="0" fontId="0" fillId="34" borderId="0" xfId="0" applyFill="1" applyAlignment="1" applyProtection="1">
      <alignment vertical="center" wrapText="1"/>
      <protection/>
    </xf>
    <xf numFmtId="0" fontId="0" fillId="34" borderId="15" xfId="0" applyFill="1" applyBorder="1" applyAlignment="1" applyProtection="1">
      <alignment vertical="center" wrapText="1"/>
      <protection/>
    </xf>
    <xf numFmtId="0" fontId="3" fillId="33" borderId="26" xfId="0" applyFont="1" applyFill="1" applyBorder="1" applyAlignment="1" applyProtection="1">
      <alignment horizontal="center" vertical="center" textRotation="255"/>
      <protection/>
    </xf>
    <xf numFmtId="0" fontId="0" fillId="0" borderId="19" xfId="0" applyBorder="1" applyAlignment="1" applyProtection="1">
      <alignment horizontal="center" vertical="center" textRotation="255"/>
      <protection/>
    </xf>
    <xf numFmtId="189" fontId="25" fillId="34" borderId="26" xfId="0" applyNumberFormat="1" applyFont="1" applyFill="1" applyBorder="1" applyAlignment="1" applyProtection="1">
      <alignment horizontal="left" vertical="center" indent="1"/>
      <protection/>
    </xf>
    <xf numFmtId="0" fontId="0" fillId="34" borderId="20" xfId="0" applyFill="1" applyBorder="1" applyAlignment="1" applyProtection="1">
      <alignment horizontal="left" indent="1"/>
      <protection/>
    </xf>
    <xf numFmtId="0" fontId="0" fillId="34" borderId="19" xfId="0" applyFill="1" applyBorder="1" applyAlignment="1" applyProtection="1">
      <alignment horizontal="left" indent="1"/>
      <protection/>
    </xf>
    <xf numFmtId="0" fontId="22" fillId="33" borderId="11" xfId="0" applyFont="1" applyFill="1" applyBorder="1" applyAlignment="1" applyProtection="1">
      <alignment horizontal="right" vertical="center"/>
      <protection/>
    </xf>
    <xf numFmtId="0" fontId="22" fillId="33" borderId="18" xfId="0" applyFont="1" applyFill="1" applyBorder="1" applyAlignment="1" applyProtection="1">
      <alignment horizontal="right" vertical="center"/>
      <protection/>
    </xf>
    <xf numFmtId="0" fontId="3" fillId="34" borderId="0" xfId="0" applyFont="1" applyFill="1" applyBorder="1" applyAlignment="1" applyProtection="1">
      <alignment vertical="center"/>
      <protection/>
    </xf>
    <xf numFmtId="0" fontId="25" fillId="34" borderId="17" xfId="0" applyFont="1" applyFill="1" applyBorder="1" applyAlignment="1" applyProtection="1">
      <alignment horizontal="center" vertical="center"/>
      <protection/>
    </xf>
    <xf numFmtId="0" fontId="25" fillId="34" borderId="11" xfId="0" applyFont="1" applyFill="1" applyBorder="1" applyAlignment="1" applyProtection="1">
      <alignment horizontal="center" vertical="center"/>
      <protection/>
    </xf>
    <xf numFmtId="0" fontId="25" fillId="34" borderId="18" xfId="0" applyFont="1" applyFill="1" applyBorder="1" applyAlignment="1" applyProtection="1">
      <alignment horizontal="center" vertical="center"/>
      <protection/>
    </xf>
    <xf numFmtId="0" fontId="25" fillId="34" borderId="14" xfId="0" applyFont="1" applyFill="1" applyBorder="1" applyAlignment="1" applyProtection="1">
      <alignment horizontal="center" vertical="center"/>
      <protection/>
    </xf>
    <xf numFmtId="0" fontId="25" fillId="34" borderId="16" xfId="0" applyFont="1" applyFill="1" applyBorder="1" applyAlignment="1" applyProtection="1">
      <alignment horizontal="center" vertical="center"/>
      <protection/>
    </xf>
    <xf numFmtId="0" fontId="12" fillId="0" borderId="17" xfId="0" applyFont="1" applyFill="1" applyBorder="1" applyAlignment="1" applyProtection="1">
      <alignment horizontal="center" vertical="center"/>
      <protection/>
    </xf>
    <xf numFmtId="0" fontId="12" fillId="0" borderId="18" xfId="0" applyFont="1" applyFill="1" applyBorder="1" applyAlignment="1" applyProtection="1">
      <alignment horizontal="center" vertical="center"/>
      <protection/>
    </xf>
    <xf numFmtId="0" fontId="12" fillId="0" borderId="14" xfId="0" applyFont="1" applyFill="1" applyBorder="1" applyAlignment="1" applyProtection="1">
      <alignment horizontal="center" vertical="center"/>
      <protection/>
    </xf>
    <xf numFmtId="0" fontId="12" fillId="0" borderId="16" xfId="0" applyFont="1" applyFill="1" applyBorder="1" applyAlignment="1" applyProtection="1">
      <alignment horizontal="center" vertical="center"/>
      <protection/>
    </xf>
    <xf numFmtId="0" fontId="39" fillId="33" borderId="0" xfId="0" applyFont="1" applyFill="1" applyBorder="1" applyAlignment="1" applyProtection="1">
      <alignment shrinkToFit="1"/>
      <protection/>
    </xf>
    <xf numFmtId="0" fontId="0" fillId="0" borderId="0" xfId="0" applyFont="1" applyAlignment="1" applyProtection="1">
      <alignment shrinkToFit="1"/>
      <protection/>
    </xf>
    <xf numFmtId="0" fontId="0" fillId="34" borderId="15" xfId="0" applyFont="1" applyFill="1" applyBorder="1" applyAlignment="1" applyProtection="1">
      <alignment horizontal="center" vertical="top"/>
      <protection/>
    </xf>
    <xf numFmtId="0" fontId="13" fillId="34" borderId="15" xfId="0" applyFont="1" applyFill="1" applyBorder="1" applyAlignment="1" applyProtection="1">
      <alignment horizontal="center" vertical="top"/>
      <protection/>
    </xf>
    <xf numFmtId="197" fontId="32" fillId="33" borderId="17" xfId="0" applyNumberFormat="1" applyFont="1" applyFill="1" applyBorder="1" applyAlignment="1" applyProtection="1">
      <alignment horizontal="center"/>
      <protection/>
    </xf>
    <xf numFmtId="197" fontId="32" fillId="33" borderId="11" xfId="0" applyNumberFormat="1" applyFont="1" applyFill="1" applyBorder="1" applyAlignment="1" applyProtection="1">
      <alignment horizontal="center"/>
      <protection/>
    </xf>
    <xf numFmtId="197" fontId="32" fillId="33" borderId="18" xfId="0" applyNumberFormat="1" applyFont="1" applyFill="1" applyBorder="1" applyAlignment="1" applyProtection="1">
      <alignment horizontal="center"/>
      <protection/>
    </xf>
    <xf numFmtId="197" fontId="32" fillId="33" borderId="12" xfId="0" applyNumberFormat="1" applyFont="1" applyFill="1" applyBorder="1" applyAlignment="1" applyProtection="1">
      <alignment horizontal="center"/>
      <protection/>
    </xf>
    <xf numFmtId="197" fontId="32" fillId="33" borderId="0" xfId="0" applyNumberFormat="1" applyFont="1" applyFill="1" applyBorder="1" applyAlignment="1" applyProtection="1">
      <alignment horizontal="center"/>
      <protection/>
    </xf>
    <xf numFmtId="197" fontId="32" fillId="33" borderId="13" xfId="0" applyNumberFormat="1" applyFont="1" applyFill="1" applyBorder="1" applyAlignment="1" applyProtection="1">
      <alignment horizontal="center"/>
      <protection/>
    </xf>
    <xf numFmtId="197" fontId="36" fillId="33" borderId="15" xfId="0" applyNumberFormat="1" applyFont="1" applyFill="1" applyBorder="1" applyAlignment="1" applyProtection="1">
      <alignment horizontal="left" vertical="center"/>
      <protection/>
    </xf>
    <xf numFmtId="197" fontId="36" fillId="33" borderId="16" xfId="0" applyNumberFormat="1" applyFont="1" applyFill="1" applyBorder="1" applyAlignment="1" applyProtection="1">
      <alignment horizontal="left" vertical="center"/>
      <protection/>
    </xf>
    <xf numFmtId="0" fontId="0" fillId="0" borderId="19" xfId="0" applyBorder="1" applyAlignment="1">
      <alignment horizontal="center" vertical="center" textRotation="255"/>
    </xf>
    <xf numFmtId="189" fontId="25" fillId="39" borderId="26" xfId="0" applyNumberFormat="1" applyFont="1" applyFill="1" applyBorder="1" applyAlignment="1" applyProtection="1">
      <alignment horizontal="left" vertical="center" indent="1"/>
      <protection locked="0"/>
    </xf>
    <xf numFmtId="0" fontId="0" fillId="39" borderId="20" xfId="0" applyFill="1" applyBorder="1" applyAlignment="1" applyProtection="1">
      <alignment horizontal="left" indent="1"/>
      <protection locked="0"/>
    </xf>
    <xf numFmtId="0" fontId="0" fillId="39" borderId="19" xfId="0" applyFill="1" applyBorder="1" applyAlignment="1" applyProtection="1">
      <alignment horizontal="left" indent="1"/>
      <protection locked="0"/>
    </xf>
    <xf numFmtId="0" fontId="0" fillId="39" borderId="17" xfId="0" applyFont="1" applyFill="1" applyBorder="1" applyAlignment="1" applyProtection="1">
      <alignment horizontal="center" vertical="center" shrinkToFit="1"/>
      <protection locked="0"/>
    </xf>
    <xf numFmtId="0" fontId="0" fillId="0" borderId="11" xfId="0" applyFont="1" applyBorder="1" applyAlignment="1" applyProtection="1">
      <alignment vertical="center" shrinkToFit="1"/>
      <protection locked="0"/>
    </xf>
    <xf numFmtId="0" fontId="0" fillId="0" borderId="18" xfId="0" applyFont="1" applyBorder="1" applyAlignment="1" applyProtection="1">
      <alignment vertical="center" shrinkToFit="1"/>
      <protection locked="0"/>
    </xf>
    <xf numFmtId="0" fontId="0" fillId="0" borderId="14" xfId="0" applyFont="1" applyBorder="1" applyAlignment="1" applyProtection="1">
      <alignment vertical="center" shrinkToFit="1"/>
      <protection locked="0"/>
    </xf>
    <xf numFmtId="0" fontId="0" fillId="0" borderId="15" xfId="0" applyFont="1" applyBorder="1" applyAlignment="1" applyProtection="1">
      <alignment vertical="center" shrinkToFit="1"/>
      <protection locked="0"/>
    </xf>
    <xf numFmtId="0" fontId="0" fillId="0" borderId="16" xfId="0" applyFont="1" applyBorder="1" applyAlignment="1" applyProtection="1">
      <alignment vertical="center" shrinkToFit="1"/>
      <protection locked="0"/>
    </xf>
    <xf numFmtId="0" fontId="0" fillId="39" borderId="26" xfId="0" applyNumberFormat="1" applyFont="1" applyFill="1" applyBorder="1" applyAlignment="1" applyProtection="1">
      <alignment horizontal="center" vertical="center"/>
      <protection locked="0"/>
    </xf>
    <xf numFmtId="0" fontId="0" fillId="39" borderId="20" xfId="0" applyNumberFormat="1" applyFont="1" applyFill="1" applyBorder="1" applyAlignment="1" applyProtection="1">
      <alignment horizontal="center" vertical="center"/>
      <protection locked="0"/>
    </xf>
    <xf numFmtId="0" fontId="0" fillId="39" borderId="19" xfId="0" applyNumberFormat="1" applyFont="1" applyFill="1" applyBorder="1" applyAlignment="1" applyProtection="1">
      <alignment horizontal="center" vertical="center"/>
      <protection locked="0"/>
    </xf>
    <xf numFmtId="0" fontId="0" fillId="39" borderId="17" xfId="0" applyFont="1" applyFill="1" applyBorder="1" applyAlignment="1" applyProtection="1">
      <alignment horizontal="center" vertical="center"/>
      <protection locked="0"/>
    </xf>
    <xf numFmtId="0" fontId="0" fillId="39" borderId="11" xfId="0" applyFont="1" applyFill="1" applyBorder="1" applyAlignment="1" applyProtection="1">
      <alignment horizontal="center" vertical="center"/>
      <protection locked="0"/>
    </xf>
    <xf numFmtId="0" fontId="0" fillId="39" borderId="18" xfId="0" applyFont="1" applyFill="1" applyBorder="1" applyAlignment="1" applyProtection="1">
      <alignment horizontal="center" vertical="center"/>
      <protection locked="0"/>
    </xf>
    <xf numFmtId="0" fontId="0" fillId="39" borderId="14" xfId="0" applyFont="1" applyFill="1" applyBorder="1" applyAlignment="1" applyProtection="1">
      <alignment horizontal="center" vertical="center"/>
      <protection locked="0"/>
    </xf>
    <xf numFmtId="0" fontId="0" fillId="39" borderId="15" xfId="0" applyFont="1" applyFill="1" applyBorder="1" applyAlignment="1" applyProtection="1">
      <alignment horizontal="center" vertical="center"/>
      <protection locked="0"/>
    </xf>
    <xf numFmtId="0" fontId="0" fillId="39" borderId="16" xfId="0" applyFont="1" applyFill="1" applyBorder="1" applyAlignment="1" applyProtection="1">
      <alignment horizontal="center" vertical="center"/>
      <protection locked="0"/>
    </xf>
    <xf numFmtId="0" fontId="37" fillId="39" borderId="12" xfId="0" applyFont="1" applyFill="1" applyBorder="1" applyAlignment="1" applyProtection="1">
      <alignment horizontal="center" vertical="center"/>
      <protection locked="0"/>
    </xf>
    <xf numFmtId="0" fontId="37" fillId="39" borderId="0" xfId="0" applyFont="1" applyFill="1" applyAlignment="1" applyProtection="1">
      <alignment horizontal="center" vertical="center"/>
      <protection locked="0"/>
    </xf>
    <xf numFmtId="0" fontId="37" fillId="39" borderId="13" xfId="0" applyFont="1" applyFill="1" applyBorder="1" applyAlignment="1" applyProtection="1">
      <alignment horizontal="center" vertical="center"/>
      <protection locked="0"/>
    </xf>
    <xf numFmtId="0" fontId="37" fillId="39" borderId="14" xfId="0" applyFont="1" applyFill="1" applyBorder="1" applyAlignment="1" applyProtection="1">
      <alignment horizontal="center" vertical="center"/>
      <protection locked="0"/>
    </xf>
    <xf numFmtId="0" fontId="37" fillId="39" borderId="15" xfId="0" applyFont="1" applyFill="1" applyBorder="1" applyAlignment="1" applyProtection="1">
      <alignment horizontal="center" vertical="center"/>
      <protection locked="0"/>
    </xf>
    <xf numFmtId="0" fontId="37" fillId="39" borderId="16" xfId="0" applyFont="1" applyFill="1" applyBorder="1" applyAlignment="1" applyProtection="1">
      <alignment horizontal="center" vertical="center"/>
      <protection locked="0"/>
    </xf>
    <xf numFmtId="58" fontId="26" fillId="39" borderId="0" xfId="0" applyNumberFormat="1" applyFont="1" applyFill="1" applyAlignment="1" applyProtection="1">
      <alignment horizontal="center" vertical="center"/>
      <protection locked="0"/>
    </xf>
    <xf numFmtId="184" fontId="37" fillId="39" borderId="17" xfId="0" applyNumberFormat="1" applyFont="1" applyFill="1" applyBorder="1" applyAlignment="1" applyProtection="1">
      <alignment horizontal="center" vertical="center"/>
      <protection locked="0"/>
    </xf>
    <xf numFmtId="0" fontId="37" fillId="39" borderId="11" xfId="0" applyFont="1" applyFill="1" applyBorder="1" applyAlignment="1" applyProtection="1">
      <alignment horizontal="center"/>
      <protection locked="0"/>
    </xf>
    <xf numFmtId="0" fontId="37" fillId="39" borderId="12" xfId="0" applyFont="1" applyFill="1" applyBorder="1" applyAlignment="1" applyProtection="1">
      <alignment horizontal="center"/>
      <protection locked="0"/>
    </xf>
    <xf numFmtId="0" fontId="37" fillId="39" borderId="0" xfId="0" applyFont="1" applyFill="1" applyAlignment="1" applyProtection="1">
      <alignment horizontal="center"/>
      <protection locked="0"/>
    </xf>
    <xf numFmtId="0" fontId="37" fillId="39" borderId="14" xfId="0" applyFont="1" applyFill="1" applyBorder="1" applyAlignment="1" applyProtection="1">
      <alignment horizontal="center"/>
      <protection locked="0"/>
    </xf>
    <xf numFmtId="0" fontId="37" fillId="39" borderId="15" xfId="0" applyFont="1" applyFill="1" applyBorder="1" applyAlignment="1" applyProtection="1">
      <alignment horizontal="center"/>
      <protection locked="0"/>
    </xf>
    <xf numFmtId="0" fontId="26" fillId="39" borderId="17" xfId="0" applyFont="1" applyFill="1" applyBorder="1" applyAlignment="1" applyProtection="1">
      <alignment vertical="center"/>
      <protection locked="0"/>
    </xf>
    <xf numFmtId="0" fontId="26" fillId="39" borderId="11" xfId="0" applyFont="1" applyFill="1" applyBorder="1" applyAlignment="1" applyProtection="1">
      <alignment vertical="center"/>
      <protection locked="0"/>
    </xf>
    <xf numFmtId="0" fontId="0" fillId="39" borderId="11" xfId="0" applyFont="1" applyFill="1" applyBorder="1" applyAlignment="1" applyProtection="1">
      <alignment vertical="center"/>
      <protection locked="0"/>
    </xf>
    <xf numFmtId="0" fontId="0" fillId="39" borderId="18" xfId="0" applyFont="1" applyFill="1" applyBorder="1" applyAlignment="1" applyProtection="1">
      <alignment vertical="center"/>
      <protection locked="0"/>
    </xf>
    <xf numFmtId="0" fontId="26" fillId="39" borderId="14" xfId="0" applyFont="1" applyFill="1" applyBorder="1" applyAlignment="1" applyProtection="1">
      <alignment vertical="center"/>
      <protection locked="0"/>
    </xf>
    <xf numFmtId="0" fontId="26" fillId="39" borderId="15" xfId="0" applyFont="1" applyFill="1" applyBorder="1" applyAlignment="1" applyProtection="1">
      <alignment vertical="center"/>
      <protection locked="0"/>
    </xf>
    <xf numFmtId="0" fontId="0" fillId="39" borderId="15" xfId="0" applyFont="1" applyFill="1" applyBorder="1" applyAlignment="1" applyProtection="1">
      <alignment vertical="center"/>
      <protection locked="0"/>
    </xf>
    <xf numFmtId="0" fontId="0" fillId="39" borderId="16" xfId="0" applyFont="1" applyFill="1" applyBorder="1" applyAlignment="1" applyProtection="1">
      <alignment vertical="center"/>
      <protection locked="0"/>
    </xf>
    <xf numFmtId="0" fontId="29" fillId="33" borderId="17" xfId="0" applyFont="1" applyFill="1" applyBorder="1" applyAlignment="1" applyProtection="1">
      <alignment horizontal="center" vertical="center"/>
      <protection locked="0"/>
    </xf>
    <xf numFmtId="0" fontId="29" fillId="0" borderId="11" xfId="0" applyFont="1" applyBorder="1" applyAlignment="1" applyProtection="1">
      <alignment horizontal="center" vertical="center"/>
      <protection locked="0"/>
    </xf>
    <xf numFmtId="0" fontId="29" fillId="0" borderId="14" xfId="0" applyFont="1" applyBorder="1" applyAlignment="1" applyProtection="1">
      <alignment horizontal="center" vertical="center"/>
      <protection locked="0"/>
    </xf>
    <xf numFmtId="0" fontId="29" fillId="0" borderId="15" xfId="0" applyFont="1" applyBorder="1" applyAlignment="1" applyProtection="1">
      <alignment horizontal="center" vertical="center"/>
      <protection locked="0"/>
    </xf>
    <xf numFmtId="0" fontId="25" fillId="39" borderId="0" xfId="0" applyFont="1" applyFill="1" applyBorder="1" applyAlignment="1" applyProtection="1">
      <alignment horizontal="center" vertical="center"/>
      <protection locked="0"/>
    </xf>
    <xf numFmtId="0" fontId="25" fillId="39" borderId="15" xfId="0" applyFont="1" applyFill="1" applyBorder="1" applyAlignment="1" applyProtection="1">
      <alignment horizontal="center" vertical="center"/>
      <protection locked="0"/>
    </xf>
    <xf numFmtId="0" fontId="26" fillId="39" borderId="0" xfId="0" applyFont="1" applyFill="1" applyBorder="1" applyAlignment="1" applyProtection="1">
      <alignment horizontal="center" vertical="center"/>
      <protection locked="0"/>
    </xf>
    <xf numFmtId="0" fontId="26" fillId="39" borderId="15"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7" fillId="0" borderId="18" xfId="0"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7" fillId="0" borderId="13"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7" fillId="0" borderId="15" xfId="0" applyFont="1" applyFill="1" applyBorder="1" applyAlignment="1" applyProtection="1">
      <alignment horizontal="center" vertical="center" wrapText="1"/>
      <protection/>
    </xf>
    <xf numFmtId="0" fontId="7" fillId="0" borderId="16" xfId="0" applyFont="1" applyFill="1" applyBorder="1" applyAlignment="1" applyProtection="1">
      <alignment horizontal="center" vertical="center" wrapText="1"/>
      <protection/>
    </xf>
    <xf numFmtId="0" fontId="0" fillId="39" borderId="17" xfId="0" applyFont="1" applyFill="1" applyBorder="1" applyAlignment="1" applyProtection="1">
      <alignment horizontal="center" vertical="center" shrinkToFit="1"/>
      <protection locked="0"/>
    </xf>
    <xf numFmtId="0" fontId="0" fillId="39" borderId="11" xfId="0" applyFont="1" applyFill="1" applyBorder="1" applyAlignment="1" applyProtection="1">
      <alignment horizontal="center" vertical="center" shrinkToFit="1"/>
      <protection locked="0"/>
    </xf>
    <xf numFmtId="0" fontId="0" fillId="39" borderId="18" xfId="0" applyFont="1" applyFill="1" applyBorder="1" applyAlignment="1" applyProtection="1">
      <alignment horizontal="center" vertical="center" shrinkToFit="1"/>
      <protection locked="0"/>
    </xf>
    <xf numFmtId="0" fontId="0" fillId="39" borderId="14" xfId="0" applyFont="1" applyFill="1" applyBorder="1" applyAlignment="1" applyProtection="1">
      <alignment horizontal="center" vertical="center" shrinkToFit="1"/>
      <protection locked="0"/>
    </xf>
    <xf numFmtId="0" fontId="0" fillId="39" borderId="15" xfId="0" applyFont="1" applyFill="1" applyBorder="1" applyAlignment="1" applyProtection="1">
      <alignment horizontal="center" vertical="center" shrinkToFit="1"/>
      <protection locked="0"/>
    </xf>
    <xf numFmtId="0" fontId="0" fillId="39" borderId="16" xfId="0" applyFont="1" applyFill="1" applyBorder="1" applyAlignment="1" applyProtection="1">
      <alignment horizontal="center" vertical="center" shrinkToFit="1"/>
      <protection locked="0"/>
    </xf>
    <xf numFmtId="0" fontId="25" fillId="39" borderId="17" xfId="0" applyFont="1" applyFill="1" applyBorder="1" applyAlignment="1" applyProtection="1">
      <alignment horizontal="center" vertical="center"/>
      <protection locked="0"/>
    </xf>
    <xf numFmtId="0" fontId="25" fillId="39" borderId="11" xfId="0" applyFont="1" applyFill="1" applyBorder="1" applyAlignment="1" applyProtection="1">
      <alignment horizontal="center" vertical="center"/>
      <protection locked="0"/>
    </xf>
    <xf numFmtId="0" fontId="25" fillId="39" borderId="18" xfId="0" applyFont="1" applyFill="1" applyBorder="1" applyAlignment="1" applyProtection="1">
      <alignment horizontal="center" vertical="center"/>
      <protection locked="0"/>
    </xf>
    <xf numFmtId="0" fontId="25" fillId="39" borderId="14" xfId="0" applyFont="1" applyFill="1" applyBorder="1" applyAlignment="1" applyProtection="1">
      <alignment horizontal="center" vertical="center"/>
      <protection locked="0"/>
    </xf>
    <xf numFmtId="0" fontId="25" fillId="39" borderId="16" xfId="0" applyFont="1" applyFill="1" applyBorder="1" applyAlignment="1" applyProtection="1">
      <alignment horizontal="center" vertical="center"/>
      <protection locked="0"/>
    </xf>
    <xf numFmtId="0" fontId="0" fillId="39" borderId="12" xfId="0" applyNumberFormat="1" applyFont="1" applyFill="1" applyBorder="1" applyAlignment="1" applyProtection="1">
      <alignment horizontal="center" vertical="center"/>
      <protection locked="0"/>
    </xf>
    <xf numFmtId="0" fontId="0" fillId="0" borderId="0" xfId="0" applyNumberFormat="1" applyFont="1" applyAlignment="1" applyProtection="1">
      <alignment horizontal="center" vertical="center"/>
      <protection locked="0"/>
    </xf>
    <xf numFmtId="0" fontId="0" fillId="0" borderId="13" xfId="0" applyNumberFormat="1" applyFont="1" applyBorder="1" applyAlignment="1" applyProtection="1">
      <alignment horizontal="center" vertical="center"/>
      <protection locked="0"/>
    </xf>
    <xf numFmtId="0" fontId="0" fillId="0" borderId="12" xfId="0" applyNumberFormat="1" applyFont="1" applyBorder="1" applyAlignment="1" applyProtection="1">
      <alignment horizontal="center" vertical="center"/>
      <protection locked="0"/>
    </xf>
    <xf numFmtId="0" fontId="0" fillId="0" borderId="14" xfId="0" applyNumberFormat="1" applyFont="1" applyBorder="1" applyAlignment="1" applyProtection="1">
      <alignment horizontal="center" vertical="center"/>
      <protection locked="0"/>
    </xf>
    <xf numFmtId="0" fontId="0" fillId="0" borderId="15" xfId="0" applyNumberFormat="1" applyFont="1" applyBorder="1" applyAlignment="1" applyProtection="1">
      <alignment horizontal="center" vertical="center"/>
      <protection locked="0"/>
    </xf>
    <xf numFmtId="0" fontId="0" fillId="0" borderId="16" xfId="0" applyNumberFormat="1" applyFont="1" applyBorder="1" applyAlignment="1" applyProtection="1">
      <alignment horizontal="center" vertical="center"/>
      <protection locked="0"/>
    </xf>
    <xf numFmtId="0" fontId="0" fillId="39" borderId="17" xfId="0" applyNumberFormat="1" applyFont="1" applyFill="1" applyBorder="1" applyAlignment="1" applyProtection="1">
      <alignment horizontal="center" vertical="center"/>
      <protection locked="0"/>
    </xf>
    <xf numFmtId="0" fontId="0" fillId="0" borderId="11" xfId="0" applyNumberFormat="1" applyFont="1" applyBorder="1" applyAlignment="1" applyProtection="1">
      <alignment horizontal="center" vertical="center"/>
      <protection locked="0"/>
    </xf>
    <xf numFmtId="0" fontId="0" fillId="0" borderId="18" xfId="0"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0" fillId="39" borderId="55" xfId="0" applyFont="1" applyFill="1" applyBorder="1" applyAlignment="1" applyProtection="1">
      <alignment horizontal="center" vertical="center" shrinkToFit="1"/>
      <protection locked="0"/>
    </xf>
    <xf numFmtId="0" fontId="0" fillId="0" borderId="56" xfId="0" applyFont="1" applyBorder="1" applyAlignment="1" applyProtection="1">
      <alignment horizontal="center" vertical="center" shrinkToFit="1"/>
      <protection locked="0"/>
    </xf>
    <xf numFmtId="0" fontId="0" fillId="0" borderId="57" xfId="0" applyFont="1" applyBorder="1" applyAlignment="1" applyProtection="1">
      <alignment horizontal="center" vertical="center" shrinkToFit="1"/>
      <protection locked="0"/>
    </xf>
    <xf numFmtId="0" fontId="26" fillId="0" borderId="0" xfId="0" applyFont="1" applyFill="1" applyBorder="1" applyAlignment="1" applyProtection="1">
      <alignment vertical="center"/>
      <protection locked="0"/>
    </xf>
    <xf numFmtId="189" fontId="25" fillId="39" borderId="12" xfId="0" applyNumberFormat="1" applyFont="1" applyFill="1" applyBorder="1" applyAlignment="1" applyProtection="1">
      <alignment horizontal="center" vertical="center"/>
      <protection locked="0"/>
    </xf>
    <xf numFmtId="189" fontId="25" fillId="39" borderId="0" xfId="0" applyNumberFormat="1" applyFont="1" applyFill="1" applyBorder="1" applyAlignment="1" applyProtection="1">
      <alignment horizontal="center" vertical="center"/>
      <protection locked="0"/>
    </xf>
    <xf numFmtId="189" fontId="25" fillId="0" borderId="0" xfId="0" applyNumberFormat="1" applyFont="1" applyAlignment="1" applyProtection="1">
      <alignment/>
      <protection locked="0"/>
    </xf>
    <xf numFmtId="189" fontId="25" fillId="39" borderId="14" xfId="0" applyNumberFormat="1" applyFont="1" applyFill="1" applyBorder="1" applyAlignment="1" applyProtection="1">
      <alignment horizontal="center" vertical="center"/>
      <protection locked="0"/>
    </xf>
    <xf numFmtId="189" fontId="25" fillId="39" borderId="15" xfId="0" applyNumberFormat="1" applyFont="1" applyFill="1" applyBorder="1" applyAlignment="1" applyProtection="1">
      <alignment horizontal="center" vertical="center"/>
      <protection locked="0"/>
    </xf>
    <xf numFmtId="189" fontId="25" fillId="0" borderId="15" xfId="0" applyNumberFormat="1" applyFont="1" applyBorder="1" applyAlignment="1" applyProtection="1">
      <alignment/>
      <protection locked="0"/>
    </xf>
    <xf numFmtId="0" fontId="24" fillId="39" borderId="0" xfId="0" applyFont="1" applyFill="1" applyBorder="1" applyAlignment="1" applyProtection="1">
      <alignment vertical="center"/>
      <protection locked="0"/>
    </xf>
    <xf numFmtId="0" fontId="12" fillId="39" borderId="17" xfId="0" applyFont="1" applyFill="1" applyBorder="1" applyAlignment="1" applyProtection="1">
      <alignment horizontal="center" vertical="center"/>
      <protection locked="0"/>
    </xf>
    <xf numFmtId="0" fontId="12" fillId="39" borderId="11" xfId="0" applyFont="1" applyFill="1" applyBorder="1" applyAlignment="1" applyProtection="1">
      <alignment horizontal="center" vertical="center"/>
      <protection locked="0"/>
    </xf>
    <xf numFmtId="0" fontId="12" fillId="39" borderId="18" xfId="0" applyFont="1" applyFill="1" applyBorder="1" applyAlignment="1" applyProtection="1">
      <alignment horizontal="center" vertical="center"/>
      <protection locked="0"/>
    </xf>
    <xf numFmtId="0" fontId="12" fillId="39" borderId="14" xfId="0" applyFont="1" applyFill="1" applyBorder="1" applyAlignment="1" applyProtection="1">
      <alignment horizontal="center" vertical="center"/>
      <protection locked="0"/>
    </xf>
    <xf numFmtId="0" fontId="12" fillId="39" borderId="15" xfId="0" applyFont="1" applyFill="1" applyBorder="1" applyAlignment="1" applyProtection="1">
      <alignment horizontal="center" vertical="center"/>
      <protection locked="0"/>
    </xf>
    <xf numFmtId="0" fontId="12" fillId="39" borderId="16" xfId="0" applyFont="1" applyFill="1" applyBorder="1" applyAlignment="1" applyProtection="1">
      <alignment horizontal="center" vertical="center"/>
      <protection locked="0"/>
    </xf>
    <xf numFmtId="0" fontId="26" fillId="0" borderId="0" xfId="0" applyFont="1" applyAlignment="1" applyProtection="1">
      <alignment vertical="center"/>
      <protection locked="0"/>
    </xf>
    <xf numFmtId="0" fontId="0" fillId="39" borderId="15" xfId="0" applyFont="1" applyFill="1" applyBorder="1" applyAlignment="1" applyProtection="1">
      <alignment horizontal="center" vertical="top"/>
      <protection locked="0"/>
    </xf>
    <xf numFmtId="0" fontId="13" fillId="39" borderId="15" xfId="0" applyFont="1" applyFill="1" applyBorder="1" applyAlignment="1" applyProtection="1">
      <alignment horizontal="center" vertical="top"/>
      <protection locked="0"/>
    </xf>
    <xf numFmtId="199" fontId="24" fillId="39" borderId="0" xfId="0" applyNumberFormat="1" applyFont="1" applyFill="1" applyBorder="1" applyAlignment="1" applyProtection="1">
      <alignment vertical="center" wrapText="1"/>
      <protection locked="0"/>
    </xf>
    <xf numFmtId="0" fontId="0" fillId="0" borderId="0" xfId="0" applyFont="1" applyAlignment="1" applyProtection="1">
      <alignment vertical="center" wrapText="1"/>
      <protection locked="0"/>
    </xf>
    <xf numFmtId="0" fontId="0" fillId="0" borderId="15" xfId="0" applyFont="1" applyBorder="1" applyAlignment="1" applyProtection="1">
      <alignment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5">
    <dxf>
      <font>
        <color indexed="9"/>
      </font>
    </dxf>
    <dxf>
      <font>
        <color indexed="10"/>
      </font>
      <fill>
        <patternFill>
          <bgColor indexed="26"/>
        </patternFill>
      </fill>
      <border>
        <right style="hair"/>
      </border>
    </dxf>
    <dxf>
      <font>
        <color indexed="9"/>
      </font>
    </dxf>
    <dxf>
      <font>
        <strike val="0"/>
        <color auto="1"/>
      </font>
      <fill>
        <patternFill patternType="none">
          <bgColor indexed="65"/>
        </patternFill>
      </fill>
      <border>
        <left>
          <color indexed="63"/>
        </left>
        <right style="hair"/>
        <top style="hair"/>
        <bottom style="hair"/>
      </border>
    </dxf>
    <dxf>
      <font>
        <color indexed="9"/>
      </font>
    </dxf>
    <dxf>
      <font>
        <strike val="0"/>
        <color auto="1"/>
      </font>
      <fill>
        <patternFill>
          <bgColor indexed="26"/>
        </patternFill>
      </fill>
      <border>
        <left style="hair"/>
        <right>
          <color indexed="63"/>
        </right>
        <top style="hair"/>
        <bottom style="hair"/>
      </border>
    </dxf>
    <dxf>
      <font>
        <color indexed="9"/>
      </font>
    </dxf>
    <dxf>
      <fill>
        <patternFill patternType="none">
          <bgColor indexed="65"/>
        </patternFill>
      </fill>
      <border>
        <left style="hair"/>
        <right style="hair"/>
        <top style="hair"/>
        <bottom style="hair"/>
      </border>
    </dxf>
    <dxf>
      <font>
        <color indexed="9"/>
      </font>
    </dxf>
    <dxf>
      <font>
        <strike val="0"/>
        <color auto="1"/>
      </font>
      <fill>
        <patternFill patternType="none">
          <bgColor indexed="65"/>
        </patternFill>
      </fill>
      <border>
        <left>
          <color indexed="63"/>
        </left>
        <right style="hair"/>
        <top style="hair"/>
        <bottom style="hair"/>
      </border>
    </dxf>
    <dxf>
      <font>
        <color indexed="9"/>
      </font>
    </dxf>
    <dxf>
      <font>
        <strike val="0"/>
        <color auto="1"/>
      </font>
      <fill>
        <patternFill>
          <bgColor indexed="26"/>
        </patternFill>
      </fill>
      <border>
        <left style="hair"/>
        <right>
          <color indexed="63"/>
        </right>
        <top style="hair"/>
        <bottom style="hair"/>
      </border>
    </dxf>
    <dxf>
      <border>
        <left style="hair"/>
        <right style="hair"/>
        <top style="hair"/>
        <bottom style="hair"/>
      </border>
    </dxf>
    <dxf>
      <font>
        <color indexed="9"/>
      </font>
    </dxf>
    <dxf>
      <border>
        <left style="hair"/>
        <right style="hair"/>
        <top style="hair"/>
        <bottom style="hair"/>
      </border>
    </dxf>
    <dxf>
      <font>
        <color indexed="9"/>
      </font>
    </dxf>
    <dxf>
      <border>
        <left style="hair"/>
        <right style="hair"/>
        <top style="hair"/>
        <bottom style="hair"/>
      </border>
    </dxf>
    <dxf>
      <font>
        <strike val="0"/>
        <color auto="1"/>
      </font>
      <fill>
        <patternFill>
          <bgColor indexed="26"/>
        </patternFill>
      </fill>
      <border>
        <left>
          <color indexed="63"/>
        </left>
        <right style="hair"/>
        <top>
          <color indexed="63"/>
        </top>
        <bottom>
          <color indexed="63"/>
        </bottom>
      </border>
    </dxf>
    <dxf>
      <border>
        <left style="hair"/>
        <right style="hair"/>
        <top style="hair"/>
        <bottom style="hair"/>
      </border>
    </dxf>
    <dxf>
      <font>
        <color indexed="10"/>
      </font>
      <fill>
        <patternFill>
          <bgColor indexed="26"/>
        </patternFill>
      </fill>
      <border>
        <right style="hair"/>
      </border>
    </dxf>
    <dxf>
      <font>
        <color indexed="9"/>
      </font>
    </dxf>
    <dxf>
      <font>
        <strike val="0"/>
        <color auto="1"/>
      </font>
      <fill>
        <patternFill patternType="none">
          <bgColor indexed="65"/>
        </patternFill>
      </fill>
      <border>
        <left>
          <color indexed="63"/>
        </left>
        <right style="hair"/>
        <top style="hair"/>
        <bottom style="hair"/>
      </border>
    </dxf>
    <dxf>
      <font>
        <color indexed="9"/>
      </font>
    </dxf>
    <dxf>
      <font>
        <strike val="0"/>
        <color auto="1"/>
      </font>
      <fill>
        <patternFill>
          <bgColor indexed="26"/>
        </patternFill>
      </fill>
      <border>
        <left style="hair"/>
        <right>
          <color indexed="63"/>
        </right>
        <top style="hair"/>
        <bottom style="hair"/>
      </border>
    </dxf>
    <dxf>
      <font>
        <color indexed="9"/>
      </font>
    </dxf>
    <dxf>
      <fill>
        <patternFill patternType="none">
          <bgColor indexed="65"/>
        </patternFill>
      </fill>
      <border>
        <left style="hair"/>
        <right style="hair"/>
        <top style="hair"/>
        <bottom style="hair"/>
      </border>
    </dxf>
    <dxf>
      <font>
        <color indexed="9"/>
      </font>
    </dxf>
    <dxf>
      <font>
        <strike val="0"/>
        <color auto="1"/>
      </font>
      <fill>
        <patternFill patternType="none">
          <bgColor indexed="65"/>
        </patternFill>
      </fill>
      <border>
        <left>
          <color indexed="63"/>
        </left>
        <right style="hair"/>
        <top style="hair"/>
        <bottom style="hair"/>
      </border>
    </dxf>
    <dxf>
      <font>
        <color indexed="9"/>
      </font>
    </dxf>
    <dxf>
      <font>
        <strike val="0"/>
        <color auto="1"/>
      </font>
      <fill>
        <patternFill>
          <bgColor indexed="26"/>
        </patternFill>
      </fill>
      <border>
        <left style="hair"/>
        <right>
          <color indexed="63"/>
        </right>
        <top style="hair"/>
        <bottom style="hair"/>
      </border>
    </dxf>
    <dxf>
      <font>
        <color indexed="9"/>
      </font>
    </dxf>
    <dxf>
      <border>
        <left style="hair"/>
        <right style="hair"/>
        <top style="hair"/>
        <bottom style="hair"/>
      </border>
    </dxf>
    <dxf>
      <font>
        <color indexed="9"/>
      </font>
    </dxf>
    <dxf>
      <border>
        <left style="hair"/>
        <right style="hair"/>
        <top style="hair"/>
        <bottom style="hair"/>
      </border>
    </dxf>
    <dxf>
      <font>
        <strike val="0"/>
        <color auto="1"/>
      </font>
      <fill>
        <patternFill>
          <bgColor indexed="47"/>
        </patternFill>
      </fill>
      <border>
        <left>
          <color indexed="63"/>
        </left>
        <right style="hair"/>
        <top>
          <color indexed="63"/>
        </top>
        <bottom>
          <color indexed="63"/>
        </bottom>
      </border>
    </dxf>
    <dxf>
      <font>
        <strike val="0"/>
        <color auto="1"/>
      </font>
      <fill>
        <patternFill>
          <bgColor indexed="45"/>
        </patternFill>
      </fill>
      <border>
        <left>
          <color indexed="63"/>
        </left>
        <right style="hair"/>
        <top>
          <color indexed="63"/>
        </top>
        <bottom>
          <color indexed="63"/>
        </bottom>
      </border>
    </dxf>
    <dxf>
      <font>
        <strike val="0"/>
        <color auto="1"/>
      </font>
      <fill>
        <patternFill>
          <bgColor rgb="FFFF99CC"/>
        </patternFill>
      </fill>
      <border>
        <left>
          <color rgb="FF000000"/>
        </left>
        <right style="hair">
          <color rgb="FF000000"/>
        </right>
        <top>
          <color rgb="FF000000"/>
        </top>
        <bottom>
          <color rgb="FF000000"/>
        </bottom>
      </border>
    </dxf>
    <dxf>
      <font>
        <strike val="0"/>
        <color auto="1"/>
      </font>
      <fill>
        <patternFill>
          <bgColor rgb="FFFFCC99"/>
        </patternFill>
      </fill>
      <border>
        <left>
          <color rgb="FF000000"/>
        </left>
        <right style="hair">
          <color rgb="FF000000"/>
        </right>
        <top>
          <color rgb="FF000000"/>
        </top>
        <bottom>
          <color rgb="FF000000"/>
        </bottom>
      </border>
    </dxf>
    <dxf>
      <border>
        <left style="hair">
          <color rgb="FF000000"/>
        </left>
        <right style="hair">
          <color rgb="FF000000"/>
        </right>
        <top style="hair"/>
        <bottom style="hair">
          <color rgb="FF000000"/>
        </bottom>
      </border>
    </dxf>
    <dxf>
      <font>
        <color rgb="FFFFFFFF"/>
      </font>
      <border/>
    </dxf>
    <dxf>
      <font>
        <strike val="0"/>
        <color auto="1"/>
      </font>
      <fill>
        <patternFill>
          <bgColor rgb="FFFFFFCC"/>
        </patternFill>
      </fill>
      <border>
        <left style="hair">
          <color rgb="FF000000"/>
        </left>
        <right>
          <color rgb="FF000000"/>
        </right>
        <top style="hair"/>
        <bottom style="hair">
          <color rgb="FF000000"/>
        </bottom>
      </border>
    </dxf>
    <dxf>
      <font>
        <strike val="0"/>
        <color auto="1"/>
      </font>
      <fill>
        <patternFill patternType="none">
          <bgColor indexed="65"/>
        </patternFill>
      </fill>
      <border>
        <left>
          <color rgb="FF000000"/>
        </left>
        <right style="hair">
          <color rgb="FF000000"/>
        </right>
        <top style="hair"/>
        <bottom style="hair">
          <color rgb="FF000000"/>
        </bottom>
      </border>
    </dxf>
    <dxf>
      <fill>
        <patternFill patternType="none">
          <bgColor indexed="65"/>
        </patternFill>
      </fill>
      <border>
        <left style="hair">
          <color rgb="FF000000"/>
        </left>
        <right style="hair">
          <color rgb="FF000000"/>
        </right>
        <top style="hair"/>
        <bottom style="hair">
          <color rgb="FF000000"/>
        </bottom>
      </border>
    </dxf>
    <dxf>
      <font>
        <color rgb="FFFF0000"/>
      </font>
      <fill>
        <patternFill>
          <bgColor rgb="FFFFFFCC"/>
        </patternFill>
      </fill>
      <border>
        <right style="hair">
          <color rgb="FF000000"/>
        </right>
      </border>
    </dxf>
    <dxf>
      <font>
        <strike val="0"/>
        <color auto="1"/>
      </font>
      <fill>
        <patternFill>
          <bgColor rgb="FFFFFFCC"/>
        </patternFill>
      </fill>
      <border>
        <left>
          <color rgb="FF000000"/>
        </left>
        <right style="hair">
          <color rgb="FF000000"/>
        </right>
        <top>
          <color rgb="FF000000"/>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76200</xdr:colOff>
      <xdr:row>0</xdr:row>
      <xdr:rowOff>0</xdr:rowOff>
    </xdr:from>
    <xdr:to>
      <xdr:col>43</xdr:col>
      <xdr:colOff>28575</xdr:colOff>
      <xdr:row>0</xdr:row>
      <xdr:rowOff>0</xdr:rowOff>
    </xdr:to>
    <xdr:sp>
      <xdr:nvSpPr>
        <xdr:cNvPr id="1" name="AutoShape 4"/>
        <xdr:cNvSpPr>
          <a:spLocks/>
        </xdr:cNvSpPr>
      </xdr:nvSpPr>
      <xdr:spPr>
        <a:xfrm>
          <a:off x="4486275" y="0"/>
          <a:ext cx="752475" cy="0"/>
        </a:xfrm>
        <a:prstGeom prst="bracketPair">
          <a:avLst>
            <a:gd name="adj" fmla="val -22972"/>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0</xdr:row>
      <xdr:rowOff>0</xdr:rowOff>
    </xdr:from>
    <xdr:to>
      <xdr:col>33</xdr:col>
      <xdr:colOff>76200</xdr:colOff>
      <xdr:row>0</xdr:row>
      <xdr:rowOff>0</xdr:rowOff>
    </xdr:to>
    <xdr:sp>
      <xdr:nvSpPr>
        <xdr:cNvPr id="2" name="AutoShape 53"/>
        <xdr:cNvSpPr>
          <a:spLocks/>
        </xdr:cNvSpPr>
      </xdr:nvSpPr>
      <xdr:spPr>
        <a:xfrm>
          <a:off x="2819400" y="0"/>
          <a:ext cx="1323975" cy="0"/>
        </a:xfrm>
        <a:prstGeom prst="wedgeRectCallout">
          <a:avLst>
            <a:gd name="adj1" fmla="val -41097"/>
            <a:gd name="adj2" fmla="val -8650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①～③が表示された場合、必要事項を入力してください。</a:t>
          </a:r>
        </a:p>
      </xdr:txBody>
    </xdr:sp>
    <xdr:clientData/>
  </xdr:twoCellAnchor>
  <xdr:twoCellAnchor>
    <xdr:from>
      <xdr:col>39</xdr:col>
      <xdr:colOff>76200</xdr:colOff>
      <xdr:row>0</xdr:row>
      <xdr:rowOff>0</xdr:rowOff>
    </xdr:from>
    <xdr:to>
      <xdr:col>47</xdr:col>
      <xdr:colOff>57150</xdr:colOff>
      <xdr:row>0</xdr:row>
      <xdr:rowOff>0</xdr:rowOff>
    </xdr:to>
    <xdr:sp>
      <xdr:nvSpPr>
        <xdr:cNvPr id="3" name="AutoShape 56"/>
        <xdr:cNvSpPr>
          <a:spLocks/>
        </xdr:cNvSpPr>
      </xdr:nvSpPr>
      <xdr:spPr>
        <a:xfrm>
          <a:off x="4829175" y="0"/>
          <a:ext cx="923925" cy="0"/>
        </a:xfrm>
        <a:prstGeom prst="bracketPair">
          <a:avLst>
            <a:gd name="adj" fmla="val -22972"/>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9525</xdr:colOff>
      <xdr:row>0</xdr:row>
      <xdr:rowOff>0</xdr:rowOff>
    </xdr:from>
    <xdr:to>
      <xdr:col>60</xdr:col>
      <xdr:colOff>0</xdr:colOff>
      <xdr:row>0</xdr:row>
      <xdr:rowOff>0</xdr:rowOff>
    </xdr:to>
    <xdr:grpSp>
      <xdr:nvGrpSpPr>
        <xdr:cNvPr id="4" name="Group 58"/>
        <xdr:cNvGrpSpPr>
          <a:grpSpLocks/>
        </xdr:cNvGrpSpPr>
      </xdr:nvGrpSpPr>
      <xdr:grpSpPr>
        <a:xfrm>
          <a:off x="6057900" y="0"/>
          <a:ext cx="1190625" cy="0"/>
          <a:chOff x="617" y="27"/>
          <a:chExt cx="125" cy="16"/>
        </a:xfrm>
        <a:solidFill>
          <a:srgbClr val="FFFFFF"/>
        </a:solidFill>
      </xdr:grpSpPr>
      <xdr:sp>
        <xdr:nvSpPr>
          <xdr:cNvPr id="5" name="Line 59"/>
          <xdr:cNvSpPr>
            <a:spLocks/>
          </xdr:cNvSpPr>
        </xdr:nvSpPr>
        <xdr:spPr>
          <a:xfrm>
            <a:off x="617" y="43"/>
            <a:ext cx="12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AutoShape 60"/>
          <xdr:cNvSpPr>
            <a:spLocks/>
          </xdr:cNvSpPr>
        </xdr:nvSpPr>
        <xdr:spPr>
          <a:xfrm>
            <a:off x="694" y="27"/>
            <a:ext cx="38" cy="1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39</xdr:col>
      <xdr:colOff>76200</xdr:colOff>
      <xdr:row>18</xdr:row>
      <xdr:rowOff>123825</xdr:rowOff>
    </xdr:from>
    <xdr:to>
      <xdr:col>47</xdr:col>
      <xdr:colOff>57150</xdr:colOff>
      <xdr:row>21</xdr:row>
      <xdr:rowOff>95250</xdr:rowOff>
    </xdr:to>
    <xdr:sp>
      <xdr:nvSpPr>
        <xdr:cNvPr id="7" name="AutoShape 76"/>
        <xdr:cNvSpPr>
          <a:spLocks/>
        </xdr:cNvSpPr>
      </xdr:nvSpPr>
      <xdr:spPr>
        <a:xfrm>
          <a:off x="4829175" y="2581275"/>
          <a:ext cx="923925" cy="333375"/>
        </a:xfrm>
        <a:prstGeom prst="bracketPair">
          <a:avLst>
            <a:gd name="adj" fmla="val -22972"/>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2</xdr:row>
      <xdr:rowOff>104775</xdr:rowOff>
    </xdr:from>
    <xdr:to>
      <xdr:col>45</xdr:col>
      <xdr:colOff>47625</xdr:colOff>
      <xdr:row>5</xdr:row>
      <xdr:rowOff>38100</xdr:rowOff>
    </xdr:to>
    <xdr:sp>
      <xdr:nvSpPr>
        <xdr:cNvPr id="8" name="Text Box 77"/>
        <xdr:cNvSpPr txBox="1">
          <a:spLocks noChangeArrowheads="1"/>
        </xdr:cNvSpPr>
      </xdr:nvSpPr>
      <xdr:spPr>
        <a:xfrm>
          <a:off x="2181225" y="400050"/>
          <a:ext cx="3314700" cy="4381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0000"/>
              </a:solidFill>
              <a:latin typeface="ＭＳ Ｐゴシック"/>
              <a:ea typeface="ＭＳ Ｐゴシック"/>
              <a:cs typeface="ＭＳ Ｐゴシック"/>
            </a:rPr>
            <a:t>こちらは記入見本になります。</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利用申込には入力用シートをご利用ください。</a:t>
          </a:r>
        </a:p>
      </xdr:txBody>
    </xdr:sp>
    <xdr:clientData/>
  </xdr:twoCellAnchor>
  <xdr:twoCellAnchor>
    <xdr:from>
      <xdr:col>1</xdr:col>
      <xdr:colOff>0</xdr:colOff>
      <xdr:row>6</xdr:row>
      <xdr:rowOff>47625</xdr:rowOff>
    </xdr:from>
    <xdr:to>
      <xdr:col>20</xdr:col>
      <xdr:colOff>28575</xdr:colOff>
      <xdr:row>8</xdr:row>
      <xdr:rowOff>66675</xdr:rowOff>
    </xdr:to>
    <xdr:sp>
      <xdr:nvSpPr>
        <xdr:cNvPr id="9" name="Text Box 96"/>
        <xdr:cNvSpPr txBox="1">
          <a:spLocks noChangeArrowheads="1"/>
        </xdr:cNvSpPr>
      </xdr:nvSpPr>
      <xdr:spPr>
        <a:xfrm>
          <a:off x="200025" y="1038225"/>
          <a:ext cx="2352675" cy="400050"/>
        </a:xfrm>
        <a:prstGeom prst="rect">
          <a:avLst/>
        </a:prstGeom>
        <a:solidFill>
          <a:srgbClr val="FFCC99"/>
        </a:solidFill>
        <a:ln w="12700"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latin typeface="ＭＳ Ｐゴシック"/>
              <a:ea typeface="ＭＳ Ｐゴシック"/>
              <a:cs typeface="ＭＳ Ｐゴシック"/>
            </a:rPr>
            <a:t>下記の色のついたセルに</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必要事項を入力・記入ください。</a:t>
          </a:r>
        </a:p>
      </xdr:txBody>
    </xdr:sp>
    <xdr:clientData/>
  </xdr:twoCellAnchor>
  <xdr:twoCellAnchor>
    <xdr:from>
      <xdr:col>10</xdr:col>
      <xdr:colOff>28575</xdr:colOff>
      <xdr:row>8</xdr:row>
      <xdr:rowOff>66675</xdr:rowOff>
    </xdr:from>
    <xdr:to>
      <xdr:col>15</xdr:col>
      <xdr:colOff>19050</xdr:colOff>
      <xdr:row>13</xdr:row>
      <xdr:rowOff>19050</xdr:rowOff>
    </xdr:to>
    <xdr:sp>
      <xdr:nvSpPr>
        <xdr:cNvPr id="10" name="AutoShape 97"/>
        <xdr:cNvSpPr>
          <a:spLocks/>
        </xdr:cNvSpPr>
      </xdr:nvSpPr>
      <xdr:spPr>
        <a:xfrm>
          <a:off x="1381125" y="1438275"/>
          <a:ext cx="600075" cy="4953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28575</xdr:colOff>
      <xdr:row>52</xdr:row>
      <xdr:rowOff>47625</xdr:rowOff>
    </xdr:from>
    <xdr:to>
      <xdr:col>61</xdr:col>
      <xdr:colOff>76200</xdr:colOff>
      <xdr:row>57</xdr:row>
      <xdr:rowOff>0</xdr:rowOff>
    </xdr:to>
    <xdr:sp>
      <xdr:nvSpPr>
        <xdr:cNvPr id="11" name="Text Box 100"/>
        <xdr:cNvSpPr txBox="1">
          <a:spLocks noChangeArrowheads="1"/>
        </xdr:cNvSpPr>
      </xdr:nvSpPr>
      <xdr:spPr>
        <a:xfrm>
          <a:off x="3638550" y="8515350"/>
          <a:ext cx="3790950" cy="952500"/>
        </a:xfrm>
        <a:prstGeom prst="rect">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FF0000"/>
              </a:solidFill>
              <a:latin typeface="ＭＳ Ｐゴシック"/>
              <a:ea typeface="ＭＳ Ｐゴシック"/>
              <a:cs typeface="ＭＳ Ｐゴシック"/>
            </a:rPr>
            <a:t>①志賀山荘・三日月ホテルを利用する場合</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「キャンセル待ち」の希望の有無を選択する。</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②三日月ホテルを利用かつ夕食ありの場合</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「ﾊﾞｲｷﾝｸﾞ」または「和食」のいずれかを選択する。</a:t>
          </a:r>
        </a:p>
      </xdr:txBody>
    </xdr:sp>
    <xdr:clientData/>
  </xdr:twoCellAnchor>
  <xdr:twoCellAnchor>
    <xdr:from>
      <xdr:col>24</xdr:col>
      <xdr:colOff>76200</xdr:colOff>
      <xdr:row>50</xdr:row>
      <xdr:rowOff>0</xdr:rowOff>
    </xdr:from>
    <xdr:to>
      <xdr:col>29</xdr:col>
      <xdr:colOff>28575</xdr:colOff>
      <xdr:row>54</xdr:row>
      <xdr:rowOff>85725</xdr:rowOff>
    </xdr:to>
    <xdr:sp>
      <xdr:nvSpPr>
        <xdr:cNvPr id="12" name="AutoShape 101"/>
        <xdr:cNvSpPr>
          <a:spLocks/>
        </xdr:cNvSpPr>
      </xdr:nvSpPr>
      <xdr:spPr>
        <a:xfrm flipH="1" flipV="1">
          <a:off x="3095625" y="8248650"/>
          <a:ext cx="542925" cy="6953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76200</xdr:colOff>
      <xdr:row>30</xdr:row>
      <xdr:rowOff>133350</xdr:rowOff>
    </xdr:from>
    <xdr:to>
      <xdr:col>42</xdr:col>
      <xdr:colOff>104775</xdr:colOff>
      <xdr:row>34</xdr:row>
      <xdr:rowOff>66675</xdr:rowOff>
    </xdr:to>
    <xdr:sp>
      <xdr:nvSpPr>
        <xdr:cNvPr id="13" name="Text Box 105"/>
        <xdr:cNvSpPr txBox="1">
          <a:spLocks noChangeArrowheads="1"/>
        </xdr:cNvSpPr>
      </xdr:nvSpPr>
      <xdr:spPr>
        <a:xfrm>
          <a:off x="3095625" y="4752975"/>
          <a:ext cx="2105025" cy="733425"/>
        </a:xfrm>
        <a:prstGeom prst="rect">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FF0000"/>
              </a:solidFill>
              <a:latin typeface="ＭＳ Ｐゴシック"/>
              <a:ea typeface="ＭＳ Ｐゴシック"/>
              <a:cs typeface="ＭＳ Ｐゴシック"/>
            </a:rPr>
            <a:t>未就学児（６歳未満）が</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利用する場合は、寝具利用</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の有無を選択ください。</a:t>
          </a:r>
        </a:p>
      </xdr:txBody>
    </xdr:sp>
    <xdr:clientData/>
  </xdr:twoCellAnchor>
  <xdr:twoCellAnchor>
    <xdr:from>
      <xdr:col>18</xdr:col>
      <xdr:colOff>85725</xdr:colOff>
      <xdr:row>32</xdr:row>
      <xdr:rowOff>104775</xdr:rowOff>
    </xdr:from>
    <xdr:to>
      <xdr:col>24</xdr:col>
      <xdr:colOff>76200</xdr:colOff>
      <xdr:row>36</xdr:row>
      <xdr:rowOff>19050</xdr:rowOff>
    </xdr:to>
    <xdr:sp>
      <xdr:nvSpPr>
        <xdr:cNvPr id="14" name="AutoShape 106"/>
        <xdr:cNvSpPr>
          <a:spLocks/>
        </xdr:cNvSpPr>
      </xdr:nvSpPr>
      <xdr:spPr>
        <a:xfrm flipH="1">
          <a:off x="2381250" y="5124450"/>
          <a:ext cx="714375" cy="7143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34</xdr:row>
      <xdr:rowOff>76200</xdr:rowOff>
    </xdr:from>
    <xdr:to>
      <xdr:col>18</xdr:col>
      <xdr:colOff>85725</xdr:colOff>
      <xdr:row>37</xdr:row>
      <xdr:rowOff>152400</xdr:rowOff>
    </xdr:to>
    <xdr:sp>
      <xdr:nvSpPr>
        <xdr:cNvPr id="15" name="AutoShape 107"/>
        <xdr:cNvSpPr>
          <a:spLocks/>
        </xdr:cNvSpPr>
      </xdr:nvSpPr>
      <xdr:spPr>
        <a:xfrm>
          <a:off x="2133600" y="5495925"/>
          <a:ext cx="247650" cy="676275"/>
        </a:xfrm>
        <a:prstGeom prst="roundRect">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38100</xdr:colOff>
      <xdr:row>26</xdr:row>
      <xdr:rowOff>28575</xdr:rowOff>
    </xdr:from>
    <xdr:to>
      <xdr:col>63</xdr:col>
      <xdr:colOff>76200</xdr:colOff>
      <xdr:row>45</xdr:row>
      <xdr:rowOff>161925</xdr:rowOff>
    </xdr:to>
    <xdr:sp>
      <xdr:nvSpPr>
        <xdr:cNvPr id="16" name="AutoShape 111"/>
        <xdr:cNvSpPr>
          <a:spLocks/>
        </xdr:cNvSpPr>
      </xdr:nvSpPr>
      <xdr:spPr>
        <a:xfrm>
          <a:off x="5362575" y="3848100"/>
          <a:ext cx="2314575" cy="3648075"/>
        </a:xfrm>
        <a:prstGeom prst="roundRect">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38</xdr:row>
      <xdr:rowOff>66675</xdr:rowOff>
    </xdr:from>
    <xdr:to>
      <xdr:col>43</xdr:col>
      <xdr:colOff>85725</xdr:colOff>
      <xdr:row>41</xdr:row>
      <xdr:rowOff>28575</xdr:rowOff>
    </xdr:to>
    <xdr:sp>
      <xdr:nvSpPr>
        <xdr:cNvPr id="17" name="Text Box 112"/>
        <xdr:cNvSpPr txBox="1">
          <a:spLocks noChangeArrowheads="1"/>
        </xdr:cNvSpPr>
      </xdr:nvSpPr>
      <xdr:spPr>
        <a:xfrm>
          <a:off x="3190875" y="6286500"/>
          <a:ext cx="2105025" cy="561975"/>
        </a:xfrm>
        <a:prstGeom prst="rect">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FF0000"/>
              </a:solidFill>
              <a:latin typeface="ＭＳ Ｐゴシック"/>
              <a:ea typeface="ＭＳ Ｐゴシック"/>
              <a:cs typeface="ＭＳ Ｐゴシック"/>
            </a:rPr>
            <a:t>自動的に利用料金が表示</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されます。</a:t>
          </a:r>
        </a:p>
      </xdr:txBody>
    </xdr:sp>
    <xdr:clientData/>
  </xdr:twoCellAnchor>
  <xdr:twoCellAnchor>
    <xdr:from>
      <xdr:col>34</xdr:col>
      <xdr:colOff>66675</xdr:colOff>
      <xdr:row>35</xdr:row>
      <xdr:rowOff>47625</xdr:rowOff>
    </xdr:from>
    <xdr:to>
      <xdr:col>43</xdr:col>
      <xdr:colOff>85725</xdr:colOff>
      <xdr:row>38</xdr:row>
      <xdr:rowOff>66675</xdr:rowOff>
    </xdr:to>
    <xdr:sp>
      <xdr:nvSpPr>
        <xdr:cNvPr id="18" name="AutoShape 113"/>
        <xdr:cNvSpPr>
          <a:spLocks/>
        </xdr:cNvSpPr>
      </xdr:nvSpPr>
      <xdr:spPr>
        <a:xfrm flipV="1">
          <a:off x="4248150" y="5667375"/>
          <a:ext cx="1047750" cy="6191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13</xdr:row>
      <xdr:rowOff>38100</xdr:rowOff>
    </xdr:from>
    <xdr:to>
      <xdr:col>31</xdr:col>
      <xdr:colOff>104775</xdr:colOff>
      <xdr:row>15</xdr:row>
      <xdr:rowOff>95250</xdr:rowOff>
    </xdr:to>
    <xdr:sp>
      <xdr:nvSpPr>
        <xdr:cNvPr id="19" name="AutoShape 116"/>
        <xdr:cNvSpPr>
          <a:spLocks/>
        </xdr:cNvSpPr>
      </xdr:nvSpPr>
      <xdr:spPr>
        <a:xfrm>
          <a:off x="1971675" y="1952625"/>
          <a:ext cx="1971675" cy="304800"/>
        </a:xfrm>
        <a:prstGeom prst="bracketPair">
          <a:avLst>
            <a:gd name="adj" fmla="val -22972"/>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57</xdr:row>
      <xdr:rowOff>104775</xdr:rowOff>
    </xdr:from>
    <xdr:to>
      <xdr:col>31</xdr:col>
      <xdr:colOff>19050</xdr:colOff>
      <xdr:row>60</xdr:row>
      <xdr:rowOff>133350</xdr:rowOff>
    </xdr:to>
    <xdr:sp>
      <xdr:nvSpPr>
        <xdr:cNvPr id="20" name="Text Box 122"/>
        <xdr:cNvSpPr txBox="1">
          <a:spLocks noChangeArrowheads="1"/>
        </xdr:cNvSpPr>
      </xdr:nvSpPr>
      <xdr:spPr>
        <a:xfrm>
          <a:off x="295275" y="9572625"/>
          <a:ext cx="3562350" cy="600075"/>
        </a:xfrm>
        <a:prstGeom prst="rect">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FF0000"/>
              </a:solidFill>
              <a:latin typeface="ＭＳ Ｐゴシック"/>
              <a:ea typeface="ＭＳ Ｐゴシック"/>
              <a:cs typeface="ＭＳ Ｐゴシック"/>
            </a:rPr>
            <a:t>自由記載欄には、厚生施設の利用にあたり、</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伝えておきたいこと等、自由に入力・記入ください。</a:t>
          </a:r>
        </a:p>
      </xdr:txBody>
    </xdr:sp>
    <xdr:clientData/>
  </xdr:twoCellAnchor>
  <xdr:twoCellAnchor>
    <xdr:from>
      <xdr:col>5</xdr:col>
      <xdr:colOff>85725</xdr:colOff>
      <xdr:row>52</xdr:row>
      <xdr:rowOff>38100</xdr:rowOff>
    </xdr:from>
    <xdr:to>
      <xdr:col>15</xdr:col>
      <xdr:colOff>114300</xdr:colOff>
      <xdr:row>57</xdr:row>
      <xdr:rowOff>104775</xdr:rowOff>
    </xdr:to>
    <xdr:sp>
      <xdr:nvSpPr>
        <xdr:cNvPr id="21" name="AutoShape 123"/>
        <xdr:cNvSpPr>
          <a:spLocks/>
        </xdr:cNvSpPr>
      </xdr:nvSpPr>
      <xdr:spPr>
        <a:xfrm flipH="1" flipV="1">
          <a:off x="819150" y="8505825"/>
          <a:ext cx="1257300" cy="10668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57150</xdr:colOff>
      <xdr:row>7</xdr:row>
      <xdr:rowOff>104775</xdr:rowOff>
    </xdr:from>
    <xdr:to>
      <xdr:col>60</xdr:col>
      <xdr:colOff>76200</xdr:colOff>
      <xdr:row>10</xdr:row>
      <xdr:rowOff>38100</xdr:rowOff>
    </xdr:to>
    <xdr:sp>
      <xdr:nvSpPr>
        <xdr:cNvPr id="22" name="Text Box 127"/>
        <xdr:cNvSpPr txBox="1">
          <a:spLocks noChangeArrowheads="1"/>
        </xdr:cNvSpPr>
      </xdr:nvSpPr>
      <xdr:spPr>
        <a:xfrm>
          <a:off x="4924425" y="1285875"/>
          <a:ext cx="2400300" cy="323850"/>
        </a:xfrm>
        <a:prstGeom prst="rect">
          <a:avLst/>
        </a:prstGeom>
        <a:solidFill>
          <a:srgbClr val="FFFFFF"/>
        </a:solidFill>
        <a:ln w="12700"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0000"/>
              </a:solidFill>
              <a:latin typeface="ＭＳ Ｐゴシック"/>
              <a:ea typeface="ＭＳ Ｐゴシック"/>
              <a:cs typeface="ＭＳ Ｐゴシック"/>
            </a:rPr>
            <a:t>申込日付を入力・記入ください。</a:t>
          </a:r>
        </a:p>
      </xdr:txBody>
    </xdr:sp>
    <xdr:clientData/>
  </xdr:twoCellAnchor>
  <xdr:twoCellAnchor>
    <xdr:from>
      <xdr:col>38</xdr:col>
      <xdr:colOff>19050</xdr:colOff>
      <xdr:row>7</xdr:row>
      <xdr:rowOff>161925</xdr:rowOff>
    </xdr:from>
    <xdr:to>
      <xdr:col>40</xdr:col>
      <xdr:colOff>57150</xdr:colOff>
      <xdr:row>8</xdr:row>
      <xdr:rowOff>76200</xdr:rowOff>
    </xdr:to>
    <xdr:sp>
      <xdr:nvSpPr>
        <xdr:cNvPr id="23" name="AutoShape 128"/>
        <xdr:cNvSpPr>
          <a:spLocks/>
        </xdr:cNvSpPr>
      </xdr:nvSpPr>
      <xdr:spPr>
        <a:xfrm flipH="1" flipV="1">
          <a:off x="4657725" y="1343025"/>
          <a:ext cx="266700" cy="1047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7</xdr:row>
      <xdr:rowOff>47625</xdr:rowOff>
    </xdr:from>
    <xdr:to>
      <xdr:col>38</xdr:col>
      <xdr:colOff>19050</xdr:colOff>
      <xdr:row>8</xdr:row>
      <xdr:rowOff>76200</xdr:rowOff>
    </xdr:to>
    <xdr:sp>
      <xdr:nvSpPr>
        <xdr:cNvPr id="24" name="AutoShape 129"/>
        <xdr:cNvSpPr>
          <a:spLocks/>
        </xdr:cNvSpPr>
      </xdr:nvSpPr>
      <xdr:spPr>
        <a:xfrm>
          <a:off x="3124200" y="1228725"/>
          <a:ext cx="1533525" cy="219075"/>
        </a:xfrm>
        <a:prstGeom prst="roundRect">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9525</xdr:colOff>
      <xdr:row>3</xdr:row>
      <xdr:rowOff>9525</xdr:rowOff>
    </xdr:from>
    <xdr:to>
      <xdr:col>64</xdr:col>
      <xdr:colOff>0</xdr:colOff>
      <xdr:row>3</xdr:row>
      <xdr:rowOff>161925</xdr:rowOff>
    </xdr:to>
    <xdr:grpSp>
      <xdr:nvGrpSpPr>
        <xdr:cNvPr id="25" name="Group 137"/>
        <xdr:cNvGrpSpPr>
          <a:grpSpLocks/>
        </xdr:cNvGrpSpPr>
      </xdr:nvGrpSpPr>
      <xdr:grpSpPr>
        <a:xfrm>
          <a:off x="6534150" y="428625"/>
          <a:ext cx="1190625" cy="152400"/>
          <a:chOff x="617" y="27"/>
          <a:chExt cx="125" cy="16"/>
        </a:xfrm>
        <a:solidFill>
          <a:srgbClr val="FFFFFF"/>
        </a:solidFill>
      </xdr:grpSpPr>
      <xdr:sp>
        <xdr:nvSpPr>
          <xdr:cNvPr id="26" name="Line 138"/>
          <xdr:cNvSpPr>
            <a:spLocks/>
          </xdr:cNvSpPr>
        </xdr:nvSpPr>
        <xdr:spPr>
          <a:xfrm>
            <a:off x="617" y="43"/>
            <a:ext cx="12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AutoShape 139"/>
          <xdr:cNvSpPr>
            <a:spLocks/>
          </xdr:cNvSpPr>
        </xdr:nvSpPr>
        <xdr:spPr>
          <a:xfrm>
            <a:off x="694" y="27"/>
            <a:ext cx="38" cy="1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76200</xdr:colOff>
      <xdr:row>18</xdr:row>
      <xdr:rowOff>114300</xdr:rowOff>
    </xdr:from>
    <xdr:to>
      <xdr:col>47</xdr:col>
      <xdr:colOff>57150</xdr:colOff>
      <xdr:row>21</xdr:row>
      <xdr:rowOff>95250</xdr:rowOff>
    </xdr:to>
    <xdr:sp>
      <xdr:nvSpPr>
        <xdr:cNvPr id="1" name="AutoShape 1"/>
        <xdr:cNvSpPr>
          <a:spLocks/>
        </xdr:cNvSpPr>
      </xdr:nvSpPr>
      <xdr:spPr>
        <a:xfrm>
          <a:off x="4829175" y="2543175"/>
          <a:ext cx="923925" cy="323850"/>
        </a:xfrm>
        <a:prstGeom prst="bracketPair">
          <a:avLst>
            <a:gd name="adj" fmla="val -22972"/>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57150</xdr:colOff>
      <xdr:row>2</xdr:row>
      <xdr:rowOff>95250</xdr:rowOff>
    </xdr:from>
    <xdr:ext cx="3562350" cy="228600"/>
    <xdr:sp>
      <xdr:nvSpPr>
        <xdr:cNvPr id="2" name="Text Box 44"/>
        <xdr:cNvSpPr txBox="1">
          <a:spLocks noChangeArrowheads="1"/>
        </xdr:cNvSpPr>
      </xdr:nvSpPr>
      <xdr:spPr>
        <a:xfrm>
          <a:off x="2457450" y="342900"/>
          <a:ext cx="3562350" cy="228600"/>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200" b="0" i="0" u="none" baseline="0">
              <a:solidFill>
                <a:srgbClr val="0000FF"/>
              </a:solidFill>
              <a:latin typeface="ＭＳ Ｐゴシック"/>
              <a:ea typeface="ＭＳ Ｐゴシック"/>
              <a:cs typeface="ＭＳ Ｐゴシック"/>
            </a:rPr>
            <a:t>Ｅメール申込・郵送申込とも本申込書をご使用ください。</a:t>
          </a:r>
        </a:p>
      </xdr:txBody>
    </xdr:sp>
    <xdr:clientData fPrintsWithSheet="0"/>
  </xdr:oneCellAnchor>
  <xdr:twoCellAnchor>
    <xdr:from>
      <xdr:col>54</xdr:col>
      <xdr:colOff>9525</xdr:colOff>
      <xdr:row>3</xdr:row>
      <xdr:rowOff>9525</xdr:rowOff>
    </xdr:from>
    <xdr:to>
      <xdr:col>64</xdr:col>
      <xdr:colOff>0</xdr:colOff>
      <xdr:row>3</xdr:row>
      <xdr:rowOff>161925</xdr:rowOff>
    </xdr:to>
    <xdr:grpSp>
      <xdr:nvGrpSpPr>
        <xdr:cNvPr id="3" name="Group 186"/>
        <xdr:cNvGrpSpPr>
          <a:grpSpLocks/>
        </xdr:cNvGrpSpPr>
      </xdr:nvGrpSpPr>
      <xdr:grpSpPr>
        <a:xfrm>
          <a:off x="6534150" y="428625"/>
          <a:ext cx="1190625" cy="152400"/>
          <a:chOff x="617" y="27"/>
          <a:chExt cx="125" cy="16"/>
        </a:xfrm>
        <a:solidFill>
          <a:srgbClr val="FFFFFF"/>
        </a:solidFill>
      </xdr:grpSpPr>
      <xdr:sp>
        <xdr:nvSpPr>
          <xdr:cNvPr id="4" name="Line 2"/>
          <xdr:cNvSpPr>
            <a:spLocks/>
          </xdr:cNvSpPr>
        </xdr:nvSpPr>
        <xdr:spPr>
          <a:xfrm>
            <a:off x="617" y="43"/>
            <a:ext cx="12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AutoShape 185"/>
          <xdr:cNvSpPr>
            <a:spLocks/>
          </xdr:cNvSpPr>
        </xdr:nvSpPr>
        <xdr:spPr>
          <a:xfrm>
            <a:off x="694" y="27"/>
            <a:ext cx="38" cy="1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15</xdr:col>
      <xdr:colOff>9525</xdr:colOff>
      <xdr:row>13</xdr:row>
      <xdr:rowOff>38100</xdr:rowOff>
    </xdr:from>
    <xdr:to>
      <xdr:col>31</xdr:col>
      <xdr:colOff>104775</xdr:colOff>
      <xdr:row>15</xdr:row>
      <xdr:rowOff>95250</xdr:rowOff>
    </xdr:to>
    <xdr:sp>
      <xdr:nvSpPr>
        <xdr:cNvPr id="6" name="AutoShape 243"/>
        <xdr:cNvSpPr>
          <a:spLocks/>
        </xdr:cNvSpPr>
      </xdr:nvSpPr>
      <xdr:spPr>
        <a:xfrm>
          <a:off x="1971675" y="1952625"/>
          <a:ext cx="1971675" cy="285750"/>
        </a:xfrm>
        <a:prstGeom prst="bracketPair">
          <a:avLst>
            <a:gd name="adj" fmla="val -22972"/>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38</xdr:col>
      <xdr:colOff>66675</xdr:colOff>
      <xdr:row>7</xdr:row>
      <xdr:rowOff>66675</xdr:rowOff>
    </xdr:from>
    <xdr:ext cx="1809750" cy="200025"/>
    <xdr:sp>
      <xdr:nvSpPr>
        <xdr:cNvPr id="7" name="Text Box 258"/>
        <xdr:cNvSpPr txBox="1">
          <a:spLocks noChangeArrowheads="1"/>
        </xdr:cNvSpPr>
      </xdr:nvSpPr>
      <xdr:spPr>
        <a:xfrm>
          <a:off x="4705350" y="1190625"/>
          <a:ext cx="1809750" cy="200025"/>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申込日付を入力・記入ください。</a:t>
          </a:r>
        </a:p>
      </xdr:txBody>
    </xdr:sp>
    <xdr:clientData fPrintsWithSheet="0"/>
  </xdr:oneCellAnchor>
  <xdr:oneCellAnchor>
    <xdr:from>
      <xdr:col>1</xdr:col>
      <xdr:colOff>9525</xdr:colOff>
      <xdr:row>0</xdr:row>
      <xdr:rowOff>85725</xdr:rowOff>
    </xdr:from>
    <xdr:ext cx="6248400" cy="219075"/>
    <xdr:sp>
      <xdr:nvSpPr>
        <xdr:cNvPr id="8" name="Text Box 277"/>
        <xdr:cNvSpPr txBox="1">
          <a:spLocks noChangeArrowheads="1"/>
        </xdr:cNvSpPr>
      </xdr:nvSpPr>
      <xdr:spPr>
        <a:xfrm>
          <a:off x="209550" y="85725"/>
          <a:ext cx="6248400" cy="219075"/>
        </a:xfrm>
        <a:prstGeom prst="rect">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下記▼より利用施設を選択ください。なお、紙で提出する場合は利用施設を選択後、印刷してください。</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A68"/>
  <sheetViews>
    <sheetView showGridLines="0" showRowColHeaders="0" zoomScaleSheetLayoutView="100" zoomScalePageLayoutView="0" workbookViewId="0" topLeftCell="A1">
      <selection activeCell="A1" sqref="A1"/>
    </sheetView>
  </sheetViews>
  <sheetFormatPr defaultColWidth="0" defaultRowHeight="13.5" zeroHeight="1"/>
  <cols>
    <col min="1" max="1" width="2.625" style="2" customWidth="1"/>
    <col min="2" max="2" width="1.625" style="2" customWidth="1"/>
    <col min="3" max="3" width="2.125" style="2" customWidth="1"/>
    <col min="4" max="11" width="1.625" style="2" customWidth="1"/>
    <col min="12" max="12" width="1.4921875" style="2" customWidth="1"/>
    <col min="13" max="16" width="1.625" style="2" customWidth="1"/>
    <col min="17" max="19" width="1.37890625" style="2" customWidth="1"/>
    <col min="20" max="26" width="1.625" style="2" customWidth="1"/>
    <col min="27" max="44" width="1.4921875" style="2" customWidth="1"/>
    <col min="45" max="45" width="1.625" style="2" customWidth="1"/>
    <col min="46" max="49" width="1.625" style="4" customWidth="1"/>
    <col min="50" max="50" width="1.37890625" style="2" customWidth="1"/>
    <col min="51" max="52" width="1.625" style="2" customWidth="1"/>
    <col min="53" max="53" width="1.37890625" style="2" customWidth="1"/>
    <col min="54" max="59" width="1.625" style="2" customWidth="1"/>
    <col min="60" max="61" width="1.37890625" style="2" customWidth="1"/>
    <col min="62" max="63" width="1.625" style="2" customWidth="1"/>
    <col min="64" max="64" width="1.625" style="5" customWidth="1"/>
    <col min="65" max="65" width="4.00390625" style="6" customWidth="1"/>
    <col min="66" max="66" width="1.875" style="6" customWidth="1"/>
    <col min="67" max="67" width="13.625" style="6" hidden="1" customWidth="1"/>
    <col min="68" max="78" width="8.625" style="6" hidden="1" customWidth="1"/>
    <col min="79" max="86" width="8.625" style="4" hidden="1" customWidth="1"/>
    <col min="87" max="104" width="8.625" style="2" hidden="1" customWidth="1"/>
    <col min="105" max="105" width="30.50390625" style="2" hidden="1" customWidth="1"/>
    <col min="106" max="16384" width="0" style="2" hidden="1" customWidth="1"/>
  </cols>
  <sheetData>
    <row r="1" spans="2:23" ht="13.5">
      <c r="B1" s="405" t="s">
        <v>116</v>
      </c>
      <c r="C1" s="406"/>
      <c r="D1" s="406"/>
      <c r="E1" s="406"/>
      <c r="F1" s="406"/>
      <c r="G1" s="406"/>
      <c r="H1" s="406"/>
      <c r="I1" s="406"/>
      <c r="J1" s="406"/>
      <c r="K1" s="406"/>
      <c r="L1" s="406"/>
      <c r="M1" s="406"/>
      <c r="N1" s="406"/>
      <c r="O1" s="406"/>
      <c r="P1" s="406"/>
      <c r="Q1" s="406"/>
      <c r="R1" s="406"/>
      <c r="S1" s="406"/>
      <c r="T1" s="406"/>
      <c r="U1" s="406"/>
      <c r="V1" s="406"/>
      <c r="W1" s="406"/>
    </row>
    <row r="2" spans="1:65" ht="9.75" customHeight="1">
      <c r="A2" s="1"/>
      <c r="B2" s="406"/>
      <c r="C2" s="406"/>
      <c r="D2" s="406"/>
      <c r="E2" s="406"/>
      <c r="F2" s="406"/>
      <c r="G2" s="406"/>
      <c r="H2" s="406"/>
      <c r="I2" s="406"/>
      <c r="J2" s="406"/>
      <c r="K2" s="406"/>
      <c r="L2" s="406"/>
      <c r="M2" s="406"/>
      <c r="N2" s="406"/>
      <c r="O2" s="406"/>
      <c r="P2" s="406"/>
      <c r="Q2" s="406"/>
      <c r="R2" s="406"/>
      <c r="S2" s="406"/>
      <c r="T2" s="406"/>
      <c r="U2" s="406"/>
      <c r="V2" s="406"/>
      <c r="W2" s="406"/>
      <c r="Y2" s="9"/>
      <c r="Z2" s="3" t="s">
        <v>2</v>
      </c>
      <c r="AA2" s="1"/>
      <c r="AB2" s="1"/>
      <c r="AC2" s="1"/>
      <c r="AD2" s="1"/>
      <c r="AE2" s="1"/>
      <c r="AF2" s="9"/>
      <c r="AG2" s="3" t="s">
        <v>3</v>
      </c>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8"/>
      <c r="BM2" s="10"/>
    </row>
    <row r="3" spans="1:65" ht="9.75" customHeight="1" thickBot="1">
      <c r="A3" s="1"/>
      <c r="B3" s="7" t="s">
        <v>73</v>
      </c>
      <c r="C3" s="8"/>
      <c r="D3" s="8"/>
      <c r="E3" s="8"/>
      <c r="F3" s="8"/>
      <c r="G3" s="8"/>
      <c r="H3" s="11">
        <f>IF(OR($B$4="ｽｶｲﾊﾟｰｸﾎﾃﾙ",$B$4="穂高ﾋﾞｭｰﾎﾃﾙ",$B$4="由布院倶楽部"),1,"")</f>
      </c>
      <c r="I3" s="11">
        <f>IF($B$4="ﾙｽﾂﾘｿﾞｰﾄ",1,"")</f>
      </c>
      <c r="J3" s="7">
        <f>IF(OR($I$3=1,$H$3=1),"↓必要組数・枚数を記入","")</f>
      </c>
      <c r="K3" s="8"/>
      <c r="L3" s="8"/>
      <c r="M3" s="8"/>
      <c r="N3" s="8"/>
      <c r="O3" s="8"/>
      <c r="P3" s="8"/>
      <c r="Q3" s="8"/>
      <c r="R3" s="8"/>
      <c r="S3" s="8"/>
      <c r="T3" s="8"/>
      <c r="U3" s="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4"/>
      <c r="BJ3" s="4"/>
      <c r="BK3" s="4"/>
      <c r="BL3" s="8"/>
      <c r="BM3" s="10"/>
    </row>
    <row r="4" spans="1:65" ht="15" customHeight="1" thickBot="1">
      <c r="A4" s="1"/>
      <c r="B4" s="227" t="s">
        <v>112</v>
      </c>
      <c r="C4" s="228"/>
      <c r="D4" s="228"/>
      <c r="E4" s="228"/>
      <c r="F4" s="228"/>
      <c r="G4" s="228"/>
      <c r="H4" s="228"/>
      <c r="I4" s="229"/>
      <c r="J4" s="210">
        <v>2</v>
      </c>
      <c r="K4" s="230"/>
      <c r="L4" s="230"/>
      <c r="M4" s="209">
        <f>IF($H$3=1,"枚","")</f>
      </c>
      <c r="N4" s="230"/>
      <c r="O4" s="230"/>
      <c r="P4" s="12"/>
      <c r="Q4" s="12"/>
      <c r="R4" s="12"/>
      <c r="S4" s="12"/>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
      <c r="AX4" s="1"/>
      <c r="AY4" s="190"/>
      <c r="AZ4" s="190"/>
      <c r="BA4" s="190"/>
      <c r="BB4" s="191"/>
      <c r="BC4" s="14" t="s">
        <v>33</v>
      </c>
      <c r="BD4" s="14"/>
      <c r="BE4" s="14"/>
      <c r="BF4" s="407">
        <v>1</v>
      </c>
      <c r="BG4" s="407"/>
      <c r="BH4" s="407"/>
      <c r="BI4" s="408" t="s">
        <v>65</v>
      </c>
      <c r="BJ4" s="408"/>
      <c r="BK4" s="408"/>
      <c r="BL4" s="15"/>
      <c r="BM4" s="10"/>
    </row>
    <row r="5" spans="1:65" ht="15" customHeight="1">
      <c r="A5" s="1"/>
      <c r="B5" s="231">
        <f>IF($B$4="ﾙｽﾂﾘｿﾞｰﾄ","ﾙｽﾂA.宿泊ﾊﾟｯｸ","")</f>
      </c>
      <c r="C5" s="232"/>
      <c r="D5" s="232"/>
      <c r="E5" s="232"/>
      <c r="F5" s="232"/>
      <c r="G5" s="232"/>
      <c r="H5" s="232"/>
      <c r="I5" s="232"/>
      <c r="J5" s="210"/>
      <c r="K5" s="230"/>
      <c r="L5" s="230"/>
      <c r="M5" s="208">
        <f>IF($I$3=1,"組","")</f>
      </c>
      <c r="N5" s="233"/>
      <c r="O5" s="23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
      <c r="AX5" s="1"/>
      <c r="AY5" s="192"/>
      <c r="AZ5" s="192"/>
      <c r="BA5" s="192"/>
      <c r="BB5" s="192"/>
      <c r="BC5" s="187" t="s">
        <v>34</v>
      </c>
      <c r="BD5" s="188"/>
      <c r="BE5" s="188"/>
      <c r="BF5" s="188"/>
      <c r="BG5" s="188"/>
      <c r="BH5" s="188"/>
      <c r="BI5" s="188"/>
      <c r="BJ5" s="188"/>
      <c r="BK5" s="188"/>
      <c r="BL5" s="189"/>
      <c r="BM5" s="10"/>
    </row>
    <row r="6" spans="1:65" ht="15" customHeight="1">
      <c r="A6" s="1"/>
      <c r="B6" s="209">
        <f>IF($B$4="ﾙｽﾂﾘｿﾞｰﾄ","ﾙｽﾂB.宿泊券","")</f>
      </c>
      <c r="C6" s="209"/>
      <c r="D6" s="209"/>
      <c r="E6" s="209"/>
      <c r="F6" s="209"/>
      <c r="G6" s="209"/>
      <c r="H6" s="209"/>
      <c r="I6" s="209"/>
      <c r="J6" s="210">
        <v>5</v>
      </c>
      <c r="K6" s="210"/>
      <c r="L6" s="210"/>
      <c r="M6" s="208">
        <f>IF($I$3=1,"枚","")</f>
      </c>
      <c r="N6" s="208"/>
      <c r="O6" s="208"/>
      <c r="P6" s="1"/>
      <c r="Q6" s="1"/>
      <c r="R6" s="1"/>
      <c r="S6" s="1"/>
      <c r="T6" s="1"/>
      <c r="U6" s="1"/>
      <c r="V6" s="1"/>
      <c r="W6" s="1"/>
      <c r="X6" s="234" t="s">
        <v>4</v>
      </c>
      <c r="Y6" s="234"/>
      <c r="Z6" s="234"/>
      <c r="AA6" s="234"/>
      <c r="AB6" s="234"/>
      <c r="AC6" s="234"/>
      <c r="AD6" s="234"/>
      <c r="AE6" s="234"/>
      <c r="AF6" s="234"/>
      <c r="AG6" s="234"/>
      <c r="AH6" s="234"/>
      <c r="AI6" s="234"/>
      <c r="AJ6" s="234"/>
      <c r="AK6" s="234"/>
      <c r="AL6" s="234"/>
      <c r="AM6" s="234"/>
      <c r="AN6" s="234"/>
      <c r="AO6" s="1"/>
      <c r="AP6" s="1"/>
      <c r="AQ6" s="1"/>
      <c r="AR6" s="1"/>
      <c r="AS6" s="1"/>
      <c r="AT6" s="1"/>
      <c r="AU6" s="1"/>
      <c r="AV6" s="1"/>
      <c r="AW6" s="1"/>
      <c r="AX6" s="1"/>
      <c r="AY6" s="192"/>
      <c r="AZ6" s="192"/>
      <c r="BA6" s="192"/>
      <c r="BB6" s="192"/>
      <c r="BC6" s="184" t="s">
        <v>5</v>
      </c>
      <c r="BD6" s="185"/>
      <c r="BE6" s="185"/>
      <c r="BF6" s="185"/>
      <c r="BG6" s="186"/>
      <c r="BH6" s="184" t="s">
        <v>6</v>
      </c>
      <c r="BI6" s="185"/>
      <c r="BJ6" s="185"/>
      <c r="BK6" s="185"/>
      <c r="BL6" s="186"/>
      <c r="BM6" s="10"/>
    </row>
    <row r="7" spans="1:65" ht="15" customHeight="1">
      <c r="A7" s="1"/>
      <c r="B7" s="209">
        <f>IF($B$4="ﾙｽﾂﾘｿﾞｰﾄ","ﾙｽﾂC.割引券","")</f>
      </c>
      <c r="C7" s="209"/>
      <c r="D7" s="209"/>
      <c r="E7" s="209"/>
      <c r="F7" s="209"/>
      <c r="G7" s="209"/>
      <c r="H7" s="209"/>
      <c r="I7" s="209"/>
      <c r="J7" s="210">
        <v>3</v>
      </c>
      <c r="K7" s="210"/>
      <c r="L7" s="210"/>
      <c r="M7" s="208">
        <f>IF($I$3=1,"枚","")</f>
      </c>
      <c r="N7" s="208"/>
      <c r="O7" s="208"/>
      <c r="P7" s="1"/>
      <c r="Q7" s="1"/>
      <c r="R7" s="1"/>
      <c r="S7" s="1"/>
      <c r="T7" s="1"/>
      <c r="U7" s="1"/>
      <c r="V7" s="1"/>
      <c r="W7" s="1"/>
      <c r="X7" s="234"/>
      <c r="Y7" s="234"/>
      <c r="Z7" s="234"/>
      <c r="AA7" s="234"/>
      <c r="AB7" s="234"/>
      <c r="AC7" s="234"/>
      <c r="AD7" s="234"/>
      <c r="AE7" s="234"/>
      <c r="AF7" s="234"/>
      <c r="AG7" s="234"/>
      <c r="AH7" s="234"/>
      <c r="AI7" s="234"/>
      <c r="AJ7" s="234"/>
      <c r="AK7" s="234"/>
      <c r="AL7" s="234"/>
      <c r="AM7" s="234"/>
      <c r="AN7" s="234"/>
      <c r="AO7" s="1"/>
      <c r="AP7" s="1"/>
      <c r="AQ7" s="1"/>
      <c r="AR7" s="1"/>
      <c r="AS7" s="1"/>
      <c r="AT7" s="1"/>
      <c r="AU7" s="1"/>
      <c r="AV7" s="1"/>
      <c r="AW7" s="1"/>
      <c r="AX7" s="1"/>
      <c r="AY7" s="193"/>
      <c r="AZ7" s="193"/>
      <c r="BA7" s="193"/>
      <c r="BB7" s="143"/>
      <c r="BC7" s="17"/>
      <c r="BD7" s="18"/>
      <c r="BE7" s="18"/>
      <c r="BF7" s="8"/>
      <c r="BG7" s="19"/>
      <c r="BH7" s="8"/>
      <c r="BI7" s="8"/>
      <c r="BJ7" s="18"/>
      <c r="BK7" s="18"/>
      <c r="BL7" s="20"/>
      <c r="BM7" s="10"/>
    </row>
    <row r="8" spans="1:65" ht="15" customHeight="1">
      <c r="A8" s="1"/>
      <c r="B8" s="209">
        <f>IF($B$4="ﾙｽﾂﾘｿﾞｰﾄ","ﾙｽﾂD.ﾎﾟｲﾝﾄ券","")</f>
      </c>
      <c r="C8" s="209"/>
      <c r="D8" s="209"/>
      <c r="E8" s="209"/>
      <c r="F8" s="209"/>
      <c r="G8" s="209"/>
      <c r="H8" s="209"/>
      <c r="I8" s="209"/>
      <c r="J8" s="210"/>
      <c r="K8" s="210"/>
      <c r="L8" s="210"/>
      <c r="M8" s="208">
        <f>IF($I$3=1,"枚","")</f>
      </c>
      <c r="N8" s="208"/>
      <c r="O8" s="208"/>
      <c r="P8" s="1"/>
      <c r="Q8" s="1"/>
      <c r="R8" s="1"/>
      <c r="S8" s="1"/>
      <c r="T8" s="1"/>
      <c r="U8" s="1"/>
      <c r="V8" s="1"/>
      <c r="W8" s="1"/>
      <c r="X8" s="1"/>
      <c r="Y8" s="183"/>
      <c r="Z8" s="226" t="s">
        <v>115</v>
      </c>
      <c r="AA8" s="226"/>
      <c r="AB8" s="226"/>
      <c r="AC8" s="226"/>
      <c r="AD8" s="226"/>
      <c r="AE8" s="226"/>
      <c r="AF8" s="226"/>
      <c r="AG8" s="226"/>
      <c r="AH8" s="226"/>
      <c r="AI8" s="226"/>
      <c r="AJ8" s="226"/>
      <c r="AK8" s="226"/>
      <c r="AL8" s="226"/>
      <c r="AM8" s="183"/>
      <c r="AN8" s="1"/>
      <c r="AO8" s="1"/>
      <c r="AP8" s="1"/>
      <c r="AQ8" s="1"/>
      <c r="AR8" s="1"/>
      <c r="AS8" s="1"/>
      <c r="AT8" s="1"/>
      <c r="AU8" s="1"/>
      <c r="AV8" s="1"/>
      <c r="AW8" s="1"/>
      <c r="AX8" s="1"/>
      <c r="AY8" s="193"/>
      <c r="AZ8" s="193"/>
      <c r="BA8" s="193"/>
      <c r="BB8" s="143"/>
      <c r="BC8" s="17"/>
      <c r="BD8" s="18"/>
      <c r="BE8" s="18"/>
      <c r="BF8" s="8"/>
      <c r="BG8" s="19"/>
      <c r="BH8" s="8"/>
      <c r="BI8" s="8"/>
      <c r="BJ8" s="18"/>
      <c r="BK8" s="18"/>
      <c r="BL8" s="20"/>
      <c r="BM8" s="10"/>
    </row>
    <row r="9" spans="1:65" ht="9.75" customHeight="1">
      <c r="A9" s="1"/>
      <c r="B9" s="1"/>
      <c r="C9" s="1"/>
      <c r="D9" s="1"/>
      <c r="E9" s="1"/>
      <c r="F9" s="1"/>
      <c r="G9" s="1"/>
      <c r="H9" s="1"/>
      <c r="I9" s="1"/>
      <c r="J9" s="1"/>
      <c r="K9" s="1"/>
      <c r="L9" s="1"/>
      <c r="M9" s="1"/>
      <c r="N9" s="1"/>
      <c r="O9" s="1"/>
      <c r="P9" s="1"/>
      <c r="Q9" s="1"/>
      <c r="R9" s="1"/>
      <c r="S9" s="1"/>
      <c r="T9" s="1"/>
      <c r="U9" s="1"/>
      <c r="V9" s="1"/>
      <c r="W9" s="1"/>
      <c r="X9" s="1"/>
      <c r="Y9" s="183"/>
      <c r="Z9" s="226"/>
      <c r="AA9" s="226"/>
      <c r="AB9" s="226"/>
      <c r="AC9" s="226"/>
      <c r="AD9" s="226"/>
      <c r="AE9" s="226"/>
      <c r="AF9" s="226"/>
      <c r="AG9" s="226"/>
      <c r="AH9" s="226"/>
      <c r="AI9" s="226"/>
      <c r="AJ9" s="226"/>
      <c r="AK9" s="226"/>
      <c r="AL9" s="226"/>
      <c r="AM9" s="183"/>
      <c r="AN9" s="1"/>
      <c r="AO9" s="1"/>
      <c r="AP9" s="1"/>
      <c r="AQ9" s="1"/>
      <c r="AR9" s="1"/>
      <c r="AS9" s="1"/>
      <c r="AT9" s="1"/>
      <c r="AU9" s="1"/>
      <c r="AV9" s="1"/>
      <c r="AW9" s="1"/>
      <c r="AX9" s="1"/>
      <c r="AY9" s="193"/>
      <c r="AZ9" s="193"/>
      <c r="BA9" s="193"/>
      <c r="BB9" s="143"/>
      <c r="BC9" s="17"/>
      <c r="BD9" s="18"/>
      <c r="BE9" s="18"/>
      <c r="BF9" s="8"/>
      <c r="BG9" s="19"/>
      <c r="BH9" s="8"/>
      <c r="BI9" s="8"/>
      <c r="BJ9" s="18"/>
      <c r="BK9" s="18"/>
      <c r="BL9" s="20"/>
      <c r="BM9" s="10"/>
    </row>
    <row r="10" spans="1:65" ht="6"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93"/>
      <c r="AZ10" s="193"/>
      <c r="BA10" s="193"/>
      <c r="BB10" s="143"/>
      <c r="BC10" s="21"/>
      <c r="BD10" s="22"/>
      <c r="BE10" s="22"/>
      <c r="BF10" s="23"/>
      <c r="BG10" s="24"/>
      <c r="BH10" s="23"/>
      <c r="BI10" s="23"/>
      <c r="BJ10" s="22"/>
      <c r="BK10" s="22"/>
      <c r="BL10" s="25"/>
      <c r="BM10" s="10"/>
    </row>
    <row r="11" spans="1:65" ht="7.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8"/>
      <c r="BM11" s="10"/>
    </row>
    <row r="12" spans="1:65" ht="9.75" customHeight="1">
      <c r="A12" s="8"/>
      <c r="B12" s="202" t="s">
        <v>7</v>
      </c>
      <c r="C12" s="203"/>
      <c r="D12" s="242" t="s">
        <v>101</v>
      </c>
      <c r="E12" s="243"/>
      <c r="F12" s="243"/>
      <c r="G12" s="243"/>
      <c r="H12" s="243"/>
      <c r="I12" s="243"/>
      <c r="J12" s="243"/>
      <c r="K12" s="243"/>
      <c r="L12" s="243"/>
      <c r="M12" s="243"/>
      <c r="N12" s="244"/>
      <c r="O12" s="196" t="s">
        <v>102</v>
      </c>
      <c r="P12" s="197"/>
      <c r="Q12" s="197"/>
      <c r="R12" s="197"/>
      <c r="S12" s="197"/>
      <c r="T12" s="197"/>
      <c r="U12" s="197"/>
      <c r="V12" s="197"/>
      <c r="W12" s="197"/>
      <c r="X12" s="197"/>
      <c r="Y12" s="197"/>
      <c r="Z12" s="197"/>
      <c r="AA12" s="197"/>
      <c r="AB12" s="197"/>
      <c r="AC12" s="197"/>
      <c r="AD12" s="197"/>
      <c r="AE12" s="197"/>
      <c r="AF12" s="197"/>
      <c r="AG12" s="198"/>
      <c r="AH12" s="202" t="s">
        <v>8</v>
      </c>
      <c r="AI12" s="203"/>
      <c r="AJ12" s="255" t="s">
        <v>9</v>
      </c>
      <c r="AK12" s="252"/>
      <c r="AL12" s="252"/>
      <c r="AM12" s="257" t="str">
        <f>PHONETIC(AJ14)</f>
        <v>ニッシン　タロウ</v>
      </c>
      <c r="AN12" s="258"/>
      <c r="AO12" s="258"/>
      <c r="AP12" s="258"/>
      <c r="AQ12" s="258"/>
      <c r="AR12" s="258"/>
      <c r="AS12" s="258"/>
      <c r="AT12" s="258"/>
      <c r="AU12" s="258"/>
      <c r="AV12" s="258"/>
      <c r="AW12" s="258"/>
      <c r="AX12" s="259"/>
      <c r="AY12" s="259"/>
      <c r="AZ12" s="259"/>
      <c r="BA12" s="259"/>
      <c r="BB12" s="259"/>
      <c r="BC12" s="259"/>
      <c r="BD12" s="259"/>
      <c r="BE12" s="259"/>
      <c r="BF12" s="259"/>
      <c r="BG12" s="259"/>
      <c r="BH12" s="259"/>
      <c r="BI12" s="259"/>
      <c r="BJ12" s="259"/>
      <c r="BK12" s="259"/>
      <c r="BL12" s="260"/>
      <c r="BM12" s="10"/>
    </row>
    <row r="13" spans="1:65" ht="9.75" customHeight="1">
      <c r="A13" s="8"/>
      <c r="B13" s="204"/>
      <c r="C13" s="205"/>
      <c r="D13" s="245"/>
      <c r="E13" s="246"/>
      <c r="F13" s="246"/>
      <c r="G13" s="246"/>
      <c r="H13" s="246"/>
      <c r="I13" s="246"/>
      <c r="J13" s="246"/>
      <c r="K13" s="246"/>
      <c r="L13" s="246"/>
      <c r="M13" s="246"/>
      <c r="N13" s="247"/>
      <c r="O13" s="199"/>
      <c r="P13" s="200"/>
      <c r="Q13" s="200"/>
      <c r="R13" s="200"/>
      <c r="S13" s="200"/>
      <c r="T13" s="200"/>
      <c r="U13" s="200"/>
      <c r="V13" s="200"/>
      <c r="W13" s="200"/>
      <c r="X13" s="200"/>
      <c r="Y13" s="200"/>
      <c r="Z13" s="200"/>
      <c r="AA13" s="200"/>
      <c r="AB13" s="200"/>
      <c r="AC13" s="200"/>
      <c r="AD13" s="200"/>
      <c r="AE13" s="200"/>
      <c r="AF13" s="200"/>
      <c r="AG13" s="201"/>
      <c r="AH13" s="204"/>
      <c r="AI13" s="205"/>
      <c r="AJ13" s="256"/>
      <c r="AK13" s="254"/>
      <c r="AL13" s="254"/>
      <c r="AM13" s="261"/>
      <c r="AN13" s="262"/>
      <c r="AO13" s="262"/>
      <c r="AP13" s="262"/>
      <c r="AQ13" s="262"/>
      <c r="AR13" s="262"/>
      <c r="AS13" s="262"/>
      <c r="AT13" s="262"/>
      <c r="AU13" s="262"/>
      <c r="AV13" s="262"/>
      <c r="AW13" s="262"/>
      <c r="AX13" s="263"/>
      <c r="AY13" s="263"/>
      <c r="AZ13" s="263"/>
      <c r="BA13" s="263"/>
      <c r="BB13" s="263"/>
      <c r="BC13" s="263"/>
      <c r="BD13" s="263"/>
      <c r="BE13" s="263"/>
      <c r="BF13" s="263"/>
      <c r="BG13" s="263"/>
      <c r="BH13" s="263"/>
      <c r="BI13" s="263"/>
      <c r="BJ13" s="263"/>
      <c r="BK13" s="263"/>
      <c r="BL13" s="264"/>
      <c r="BM13" s="10"/>
    </row>
    <row r="14" spans="1:65" ht="9.75" customHeight="1">
      <c r="A14" s="8"/>
      <c r="B14" s="204"/>
      <c r="C14" s="205"/>
      <c r="D14" s="245"/>
      <c r="E14" s="246"/>
      <c r="F14" s="246"/>
      <c r="G14" s="246"/>
      <c r="H14" s="246"/>
      <c r="I14" s="246"/>
      <c r="J14" s="246"/>
      <c r="K14" s="246"/>
      <c r="L14" s="246"/>
      <c r="M14" s="246"/>
      <c r="N14" s="247"/>
      <c r="O14" s="271">
        <v>123456</v>
      </c>
      <c r="P14" s="272"/>
      <c r="Q14" s="272"/>
      <c r="R14" s="272"/>
      <c r="S14" s="272"/>
      <c r="T14" s="272"/>
      <c r="U14" s="272"/>
      <c r="V14" s="272"/>
      <c r="W14" s="272"/>
      <c r="X14" s="272"/>
      <c r="Y14" s="272"/>
      <c r="Z14" s="272"/>
      <c r="AA14" s="272"/>
      <c r="AB14" s="272"/>
      <c r="AC14" s="272"/>
      <c r="AD14" s="272"/>
      <c r="AE14" s="272"/>
      <c r="AF14" s="272"/>
      <c r="AG14" s="273"/>
      <c r="AH14" s="204"/>
      <c r="AI14" s="205"/>
      <c r="AJ14" s="265" t="s">
        <v>1</v>
      </c>
      <c r="AK14" s="266"/>
      <c r="AL14" s="266"/>
      <c r="AM14" s="266"/>
      <c r="AN14" s="266"/>
      <c r="AO14" s="266"/>
      <c r="AP14" s="266"/>
      <c r="AQ14" s="266"/>
      <c r="AR14" s="266"/>
      <c r="AS14" s="266"/>
      <c r="AT14" s="266"/>
      <c r="AU14" s="266"/>
      <c r="AV14" s="266"/>
      <c r="AW14" s="266"/>
      <c r="AX14" s="251"/>
      <c r="AY14" s="252"/>
      <c r="AZ14" s="252"/>
      <c r="BA14" s="252"/>
      <c r="BB14" s="27"/>
      <c r="BC14" s="27"/>
      <c r="BD14" s="28"/>
      <c r="BE14" s="27"/>
      <c r="BF14" s="29"/>
      <c r="BG14" s="29"/>
      <c r="BH14" s="28"/>
      <c r="BI14" s="28"/>
      <c r="BJ14" s="28"/>
      <c r="BK14" s="28"/>
      <c r="BL14" s="30"/>
      <c r="BM14" s="10"/>
    </row>
    <row r="15" spans="1:65" ht="9.75" customHeight="1">
      <c r="A15" s="8"/>
      <c r="B15" s="204"/>
      <c r="C15" s="205"/>
      <c r="D15" s="245"/>
      <c r="E15" s="246"/>
      <c r="F15" s="246"/>
      <c r="G15" s="246"/>
      <c r="H15" s="246"/>
      <c r="I15" s="246"/>
      <c r="J15" s="246"/>
      <c r="K15" s="246"/>
      <c r="L15" s="246"/>
      <c r="M15" s="246"/>
      <c r="N15" s="247"/>
      <c r="O15" s="274"/>
      <c r="P15" s="272"/>
      <c r="Q15" s="272"/>
      <c r="R15" s="272"/>
      <c r="S15" s="272"/>
      <c r="T15" s="272"/>
      <c r="U15" s="272"/>
      <c r="V15" s="272"/>
      <c r="W15" s="272"/>
      <c r="X15" s="272"/>
      <c r="Y15" s="272"/>
      <c r="Z15" s="272"/>
      <c r="AA15" s="272"/>
      <c r="AB15" s="272"/>
      <c r="AC15" s="272"/>
      <c r="AD15" s="272"/>
      <c r="AE15" s="272"/>
      <c r="AF15" s="272"/>
      <c r="AG15" s="273"/>
      <c r="AH15" s="204"/>
      <c r="AI15" s="205"/>
      <c r="AJ15" s="267"/>
      <c r="AK15" s="268"/>
      <c r="AL15" s="268"/>
      <c r="AM15" s="268"/>
      <c r="AN15" s="268"/>
      <c r="AO15" s="268"/>
      <c r="AP15" s="268"/>
      <c r="AQ15" s="268"/>
      <c r="AR15" s="268"/>
      <c r="AS15" s="268"/>
      <c r="AT15" s="268"/>
      <c r="AU15" s="268"/>
      <c r="AV15" s="268"/>
      <c r="AW15" s="268"/>
      <c r="AX15" s="253"/>
      <c r="AY15" s="253"/>
      <c r="AZ15" s="253"/>
      <c r="BA15" s="253"/>
      <c r="BB15" s="27"/>
      <c r="BC15" s="27"/>
      <c r="BD15" s="28"/>
      <c r="BE15" s="27"/>
      <c r="BF15" s="29"/>
      <c r="BG15" s="29"/>
      <c r="BH15" s="28"/>
      <c r="BI15" s="28"/>
      <c r="BJ15" s="28"/>
      <c r="BK15" s="28"/>
      <c r="BL15" s="30"/>
      <c r="BM15" s="10"/>
    </row>
    <row r="16" spans="1:65" ht="9.75" customHeight="1">
      <c r="A16" s="8"/>
      <c r="B16" s="204"/>
      <c r="C16" s="205"/>
      <c r="D16" s="248"/>
      <c r="E16" s="249"/>
      <c r="F16" s="249"/>
      <c r="G16" s="249"/>
      <c r="H16" s="249"/>
      <c r="I16" s="249"/>
      <c r="J16" s="249"/>
      <c r="K16" s="249"/>
      <c r="L16" s="249"/>
      <c r="M16" s="249"/>
      <c r="N16" s="250"/>
      <c r="O16" s="275"/>
      <c r="P16" s="276"/>
      <c r="Q16" s="276"/>
      <c r="R16" s="276"/>
      <c r="S16" s="276"/>
      <c r="T16" s="276"/>
      <c r="U16" s="276"/>
      <c r="V16" s="276"/>
      <c r="W16" s="276"/>
      <c r="X16" s="276"/>
      <c r="Y16" s="276"/>
      <c r="Z16" s="276"/>
      <c r="AA16" s="276"/>
      <c r="AB16" s="276"/>
      <c r="AC16" s="276"/>
      <c r="AD16" s="276"/>
      <c r="AE16" s="276"/>
      <c r="AF16" s="276"/>
      <c r="AG16" s="277"/>
      <c r="AH16" s="204"/>
      <c r="AI16" s="205"/>
      <c r="AJ16" s="269"/>
      <c r="AK16" s="270"/>
      <c r="AL16" s="270"/>
      <c r="AM16" s="270"/>
      <c r="AN16" s="270"/>
      <c r="AO16" s="270"/>
      <c r="AP16" s="270"/>
      <c r="AQ16" s="270"/>
      <c r="AR16" s="270"/>
      <c r="AS16" s="270"/>
      <c r="AT16" s="270"/>
      <c r="AU16" s="270"/>
      <c r="AV16" s="270"/>
      <c r="AW16" s="270"/>
      <c r="AX16" s="254"/>
      <c r="AY16" s="254"/>
      <c r="AZ16" s="254"/>
      <c r="BA16" s="254"/>
      <c r="BB16" s="26"/>
      <c r="BC16" s="26"/>
      <c r="BD16" s="31"/>
      <c r="BE16" s="32"/>
      <c r="BF16" s="32"/>
      <c r="BG16" s="32"/>
      <c r="BH16" s="33"/>
      <c r="BI16" s="33"/>
      <c r="BJ16" s="33"/>
      <c r="BK16" s="33"/>
      <c r="BL16" s="34"/>
      <c r="BM16" s="10"/>
    </row>
    <row r="17" spans="1:65" ht="3.75" customHeight="1">
      <c r="A17" s="8"/>
      <c r="B17" s="202" t="s">
        <v>10</v>
      </c>
      <c r="C17" s="203"/>
      <c r="D17" s="35"/>
      <c r="E17" s="36"/>
      <c r="F17" s="37"/>
      <c r="G17" s="38"/>
      <c r="H17" s="38"/>
      <c r="I17" s="37"/>
      <c r="J17" s="37"/>
      <c r="K17" s="16"/>
      <c r="L17" s="16"/>
      <c r="M17" s="37"/>
      <c r="N17" s="37"/>
      <c r="O17" s="37"/>
      <c r="P17" s="16"/>
      <c r="Q17" s="16"/>
      <c r="R17" s="16"/>
      <c r="S17" s="16"/>
      <c r="T17" s="16"/>
      <c r="U17" s="37"/>
      <c r="V17" s="37"/>
      <c r="W17" s="37"/>
      <c r="X17" s="37"/>
      <c r="Y17" s="16"/>
      <c r="Z17" s="16"/>
      <c r="AA17" s="37"/>
      <c r="AB17" s="39"/>
      <c r="AC17" s="39"/>
      <c r="AD17" s="40"/>
      <c r="AE17" s="39"/>
      <c r="AF17" s="39"/>
      <c r="AG17" s="41"/>
      <c r="AH17" s="41"/>
      <c r="AI17" s="41"/>
      <c r="AJ17" s="41"/>
      <c r="AK17" s="42"/>
      <c r="AL17" s="202" t="s">
        <v>11</v>
      </c>
      <c r="AM17" s="203"/>
      <c r="AN17" s="298" t="s">
        <v>54</v>
      </c>
      <c r="AO17" s="299"/>
      <c r="AP17" s="299"/>
      <c r="AQ17" s="299"/>
      <c r="AR17" s="299"/>
      <c r="AS17" s="299"/>
      <c r="AT17" s="299"/>
      <c r="AU17" s="299"/>
      <c r="AV17" s="198"/>
      <c r="AW17" s="302" t="s">
        <v>12</v>
      </c>
      <c r="AX17" s="203"/>
      <c r="AY17" s="295" t="s">
        <v>103</v>
      </c>
      <c r="AZ17" s="197"/>
      <c r="BA17" s="197"/>
      <c r="BB17" s="278" t="s">
        <v>108</v>
      </c>
      <c r="BC17" s="279"/>
      <c r="BD17" s="279"/>
      <c r="BE17" s="279"/>
      <c r="BF17" s="279"/>
      <c r="BG17" s="279"/>
      <c r="BH17" s="279"/>
      <c r="BI17" s="279"/>
      <c r="BJ17" s="279"/>
      <c r="BK17" s="279"/>
      <c r="BL17" s="280"/>
      <c r="BM17" s="10"/>
    </row>
    <row r="18" spans="1:65" ht="9.75" customHeight="1">
      <c r="A18" s="8"/>
      <c r="B18" s="204"/>
      <c r="C18" s="205"/>
      <c r="D18" s="287">
        <v>41667</v>
      </c>
      <c r="E18" s="288"/>
      <c r="F18" s="289"/>
      <c r="G18" s="289"/>
      <c r="H18" s="289"/>
      <c r="I18" s="289"/>
      <c r="J18" s="18"/>
      <c r="K18" s="238">
        <f>D18</f>
        <v>41667</v>
      </c>
      <c r="L18" s="238"/>
      <c r="M18" s="18"/>
      <c r="N18" s="18"/>
      <c r="O18" s="18"/>
      <c r="P18" s="293">
        <v>1</v>
      </c>
      <c r="Q18" s="293"/>
      <c r="R18" s="293"/>
      <c r="S18" s="293"/>
      <c r="T18" s="293"/>
      <c r="U18" s="18"/>
      <c r="V18" s="18"/>
      <c r="W18" s="18"/>
      <c r="X18" s="18"/>
      <c r="Y18" s="240">
        <v>15</v>
      </c>
      <c r="Z18" s="240"/>
      <c r="AA18" s="18"/>
      <c r="AB18" s="43"/>
      <c r="AC18" s="43"/>
      <c r="AD18" s="44"/>
      <c r="AE18" s="43"/>
      <c r="AF18" s="43"/>
      <c r="AG18" s="45"/>
      <c r="AH18" s="45"/>
      <c r="AI18" s="45"/>
      <c r="AJ18" s="45"/>
      <c r="AK18" s="46"/>
      <c r="AL18" s="204"/>
      <c r="AM18" s="205"/>
      <c r="AN18" s="300"/>
      <c r="AO18" s="301"/>
      <c r="AP18" s="301"/>
      <c r="AQ18" s="301"/>
      <c r="AR18" s="301"/>
      <c r="AS18" s="301"/>
      <c r="AT18" s="301"/>
      <c r="AU18" s="301"/>
      <c r="AV18" s="201"/>
      <c r="AW18" s="303"/>
      <c r="AX18" s="205"/>
      <c r="AY18" s="199"/>
      <c r="AZ18" s="296"/>
      <c r="BA18" s="296"/>
      <c r="BB18" s="281"/>
      <c r="BC18" s="282"/>
      <c r="BD18" s="282"/>
      <c r="BE18" s="282"/>
      <c r="BF18" s="282"/>
      <c r="BG18" s="282"/>
      <c r="BH18" s="282"/>
      <c r="BI18" s="282"/>
      <c r="BJ18" s="282"/>
      <c r="BK18" s="282"/>
      <c r="BL18" s="283"/>
      <c r="BM18" s="10">
        <f>MONTH(D18)</f>
        <v>1</v>
      </c>
    </row>
    <row r="19" spans="1:70" ht="15" customHeight="1">
      <c r="A19" s="8"/>
      <c r="B19" s="204"/>
      <c r="C19" s="205"/>
      <c r="D19" s="290"/>
      <c r="E19" s="291"/>
      <c r="F19" s="292"/>
      <c r="G19" s="292"/>
      <c r="H19" s="292"/>
      <c r="I19" s="292"/>
      <c r="J19" s="47" t="s">
        <v>43</v>
      </c>
      <c r="K19" s="239"/>
      <c r="L19" s="239"/>
      <c r="M19" s="47" t="s">
        <v>14</v>
      </c>
      <c r="N19" s="47"/>
      <c r="O19" s="47"/>
      <c r="P19" s="294"/>
      <c r="Q19" s="294"/>
      <c r="R19" s="294"/>
      <c r="S19" s="294"/>
      <c r="T19" s="294"/>
      <c r="U19" s="48" t="s">
        <v>15</v>
      </c>
      <c r="V19" s="47"/>
      <c r="W19" s="47"/>
      <c r="X19" s="47"/>
      <c r="Y19" s="241"/>
      <c r="Z19" s="241"/>
      <c r="AA19" s="47" t="s">
        <v>16</v>
      </c>
      <c r="AB19" s="49"/>
      <c r="AC19" s="49"/>
      <c r="AD19" s="47" t="s">
        <v>79</v>
      </c>
      <c r="AE19" s="49"/>
      <c r="AF19" s="49"/>
      <c r="AG19" s="47"/>
      <c r="AH19" s="47"/>
      <c r="AI19" s="47"/>
      <c r="AJ19" s="47"/>
      <c r="AK19" s="50"/>
      <c r="AL19" s="204"/>
      <c r="AM19" s="205"/>
      <c r="AN19" s="300"/>
      <c r="AO19" s="301"/>
      <c r="AP19" s="301"/>
      <c r="AQ19" s="301"/>
      <c r="AR19" s="301"/>
      <c r="AS19" s="301"/>
      <c r="AT19" s="301"/>
      <c r="AU19" s="301"/>
      <c r="AV19" s="201"/>
      <c r="AW19" s="303"/>
      <c r="AX19" s="205"/>
      <c r="AY19" s="297"/>
      <c r="AZ19" s="236"/>
      <c r="BA19" s="236"/>
      <c r="BB19" s="284"/>
      <c r="BC19" s="285"/>
      <c r="BD19" s="285"/>
      <c r="BE19" s="285"/>
      <c r="BF19" s="285"/>
      <c r="BG19" s="285"/>
      <c r="BH19" s="285"/>
      <c r="BI19" s="285"/>
      <c r="BJ19" s="285"/>
      <c r="BK19" s="285"/>
      <c r="BL19" s="286"/>
      <c r="BM19" s="10"/>
      <c r="BR19" s="51"/>
    </row>
    <row r="20" spans="1:65" ht="3.75" customHeight="1">
      <c r="A20" s="8"/>
      <c r="B20" s="204"/>
      <c r="C20" s="205"/>
      <c r="D20" s="35"/>
      <c r="E20" s="36"/>
      <c r="F20" s="37"/>
      <c r="G20" s="36"/>
      <c r="H20" s="36"/>
      <c r="I20" s="52"/>
      <c r="J20" s="37"/>
      <c r="K20" s="16"/>
      <c r="L20" s="16"/>
      <c r="M20" s="37"/>
      <c r="N20" s="37"/>
      <c r="O20" s="37"/>
      <c r="P20" s="53" t="s">
        <v>35</v>
      </c>
      <c r="Q20" s="53"/>
      <c r="R20" s="53"/>
      <c r="S20" s="53"/>
      <c r="T20" s="53"/>
      <c r="U20" s="37"/>
      <c r="V20" s="37"/>
      <c r="W20" s="37"/>
      <c r="X20" s="37"/>
      <c r="Y20" s="38"/>
      <c r="Z20" s="38"/>
      <c r="AA20" s="37"/>
      <c r="AB20" s="39"/>
      <c r="AC20" s="39"/>
      <c r="AD20" s="54"/>
      <c r="AE20" s="39"/>
      <c r="AF20" s="39"/>
      <c r="AG20" s="37"/>
      <c r="AH20" s="37"/>
      <c r="AI20" s="37"/>
      <c r="AJ20" s="18"/>
      <c r="AK20" s="20"/>
      <c r="AL20" s="204"/>
      <c r="AM20" s="205"/>
      <c r="AN20" s="45"/>
      <c r="AO20" s="45"/>
      <c r="AP20" s="45"/>
      <c r="AQ20" s="45"/>
      <c r="AR20" s="45"/>
      <c r="AS20" s="45"/>
      <c r="AT20" s="8"/>
      <c r="AU20" s="8"/>
      <c r="AV20" s="8"/>
      <c r="AW20" s="204"/>
      <c r="AX20" s="205"/>
      <c r="AY20" s="319" t="s">
        <v>104</v>
      </c>
      <c r="AZ20" s="320"/>
      <c r="BA20" s="320"/>
      <c r="BB20" s="281" t="s">
        <v>109</v>
      </c>
      <c r="BC20" s="304"/>
      <c r="BD20" s="304"/>
      <c r="BE20" s="304"/>
      <c r="BF20" s="304"/>
      <c r="BG20" s="304"/>
      <c r="BH20" s="304"/>
      <c r="BI20" s="304"/>
      <c r="BJ20" s="304"/>
      <c r="BK20" s="304"/>
      <c r="BL20" s="283"/>
      <c r="BM20" s="10"/>
    </row>
    <row r="21" spans="1:104" ht="9.75" customHeight="1">
      <c r="A21" s="8"/>
      <c r="B21" s="204"/>
      <c r="C21" s="205"/>
      <c r="D21" s="305">
        <f>D18+P18</f>
        <v>41668</v>
      </c>
      <c r="E21" s="306"/>
      <c r="F21" s="307"/>
      <c r="G21" s="307"/>
      <c r="H21" s="307"/>
      <c r="I21" s="307"/>
      <c r="J21" s="18"/>
      <c r="K21" s="238">
        <f>D21</f>
        <v>41668</v>
      </c>
      <c r="L21" s="238"/>
      <c r="M21" s="18"/>
      <c r="N21" s="18"/>
      <c r="O21" s="18"/>
      <c r="P21" s="55"/>
      <c r="Q21" s="55"/>
      <c r="R21" s="55"/>
      <c r="S21" s="55"/>
      <c r="T21" s="55"/>
      <c r="U21" s="18"/>
      <c r="V21" s="18"/>
      <c r="W21" s="18"/>
      <c r="X21" s="18"/>
      <c r="Y21" s="240">
        <v>10</v>
      </c>
      <c r="Z21" s="240"/>
      <c r="AA21" s="18"/>
      <c r="AB21" s="43"/>
      <c r="AC21" s="43"/>
      <c r="AD21" s="44"/>
      <c r="AE21" s="43"/>
      <c r="AF21" s="43"/>
      <c r="AG21" s="45"/>
      <c r="AH21" s="45"/>
      <c r="AI21" s="45"/>
      <c r="AJ21" s="45"/>
      <c r="AK21" s="46"/>
      <c r="AL21" s="204"/>
      <c r="AM21" s="205"/>
      <c r="AN21" s="45"/>
      <c r="AO21" s="45"/>
      <c r="AP21" s="45"/>
      <c r="AQ21" s="45"/>
      <c r="AR21" s="45"/>
      <c r="AS21" s="45"/>
      <c r="AT21" s="8"/>
      <c r="AU21" s="8"/>
      <c r="AV21" s="8"/>
      <c r="AW21" s="204"/>
      <c r="AX21" s="205"/>
      <c r="AY21" s="319"/>
      <c r="AZ21" s="320"/>
      <c r="BA21" s="320"/>
      <c r="BB21" s="281"/>
      <c r="BC21" s="304"/>
      <c r="BD21" s="304"/>
      <c r="BE21" s="304"/>
      <c r="BF21" s="304"/>
      <c r="BG21" s="304"/>
      <c r="BH21" s="304"/>
      <c r="BI21" s="304"/>
      <c r="BJ21" s="304"/>
      <c r="BK21" s="304"/>
      <c r="BL21" s="283"/>
      <c r="BM21" s="10"/>
      <c r="CI21" s="56"/>
      <c r="CJ21" s="56"/>
      <c r="CK21" s="56"/>
      <c r="CL21" s="56"/>
      <c r="CM21" s="56"/>
      <c r="CN21" s="56"/>
      <c r="CO21" s="56"/>
      <c r="CP21" s="56"/>
      <c r="CQ21" s="56"/>
      <c r="CR21" s="56"/>
      <c r="CS21" s="56"/>
      <c r="CT21" s="56"/>
      <c r="CU21" s="56"/>
      <c r="CV21" s="56"/>
      <c r="CW21" s="56"/>
      <c r="CX21" s="56"/>
      <c r="CY21" s="56"/>
      <c r="CZ21" s="56"/>
    </row>
    <row r="22" spans="1:86" ht="15" customHeight="1">
      <c r="A22" s="8"/>
      <c r="B22" s="206"/>
      <c r="C22" s="207"/>
      <c r="D22" s="308"/>
      <c r="E22" s="309"/>
      <c r="F22" s="310"/>
      <c r="G22" s="310"/>
      <c r="H22" s="310"/>
      <c r="I22" s="310"/>
      <c r="J22" s="47" t="s">
        <v>43</v>
      </c>
      <c r="K22" s="239"/>
      <c r="L22" s="239"/>
      <c r="M22" s="47" t="s">
        <v>17</v>
      </c>
      <c r="N22" s="47"/>
      <c r="O22" s="47"/>
      <c r="P22" s="57"/>
      <c r="Q22" s="57"/>
      <c r="R22" s="57"/>
      <c r="S22" s="57"/>
      <c r="T22" s="57"/>
      <c r="U22" s="47" t="s">
        <v>36</v>
      </c>
      <c r="V22" s="47"/>
      <c r="W22" s="47"/>
      <c r="X22" s="47"/>
      <c r="Y22" s="241"/>
      <c r="Z22" s="241"/>
      <c r="AA22" s="47" t="s">
        <v>18</v>
      </c>
      <c r="AB22" s="49"/>
      <c r="AC22" s="49"/>
      <c r="AD22" s="47" t="s">
        <v>19</v>
      </c>
      <c r="AE22" s="49"/>
      <c r="AF22" s="49"/>
      <c r="AG22" s="47"/>
      <c r="AH22" s="47"/>
      <c r="AI22" s="47"/>
      <c r="AJ22" s="47"/>
      <c r="AK22" s="50"/>
      <c r="AL22" s="206"/>
      <c r="AM22" s="207"/>
      <c r="AN22" s="58"/>
      <c r="AO22" s="58"/>
      <c r="AP22" s="58"/>
      <c r="AQ22" s="58"/>
      <c r="AR22" s="58"/>
      <c r="AS22" s="58"/>
      <c r="AT22" s="23"/>
      <c r="AU22" s="23"/>
      <c r="AV22" s="23"/>
      <c r="AW22" s="206"/>
      <c r="AX22" s="207"/>
      <c r="AY22" s="322"/>
      <c r="AZ22" s="323"/>
      <c r="BA22" s="323"/>
      <c r="BB22" s="284"/>
      <c r="BC22" s="285"/>
      <c r="BD22" s="285"/>
      <c r="BE22" s="285"/>
      <c r="BF22" s="285"/>
      <c r="BG22" s="285"/>
      <c r="BH22" s="285"/>
      <c r="BI22" s="285"/>
      <c r="BJ22" s="285"/>
      <c r="BK22" s="285"/>
      <c r="BL22" s="286"/>
      <c r="BM22" s="10"/>
      <c r="BO22" s="59" t="s">
        <v>86</v>
      </c>
      <c r="BP22" s="60" t="s">
        <v>46</v>
      </c>
      <c r="BQ22" s="60" t="s">
        <v>47</v>
      </c>
      <c r="BR22" s="60" t="s">
        <v>48</v>
      </c>
      <c r="BS22" s="60" t="s">
        <v>49</v>
      </c>
      <c r="BT22" s="60" t="s">
        <v>50</v>
      </c>
      <c r="BU22" s="60" t="s">
        <v>53</v>
      </c>
      <c r="BV22" s="60" t="s">
        <v>90</v>
      </c>
      <c r="BW22" s="60" t="s">
        <v>66</v>
      </c>
      <c r="BX22" s="60" t="s">
        <v>51</v>
      </c>
      <c r="BY22" s="60" t="s">
        <v>89</v>
      </c>
      <c r="BZ22" s="60" t="s">
        <v>52</v>
      </c>
      <c r="CA22" s="61" t="s">
        <v>67</v>
      </c>
      <c r="CB22" s="61" t="s">
        <v>68</v>
      </c>
      <c r="CC22" s="61" t="s">
        <v>69</v>
      </c>
      <c r="CD22" s="61" t="s">
        <v>70</v>
      </c>
      <c r="CE22" s="61" t="s">
        <v>87</v>
      </c>
      <c r="CF22" s="61" t="s">
        <v>88</v>
      </c>
      <c r="CG22" s="61" t="s">
        <v>45</v>
      </c>
      <c r="CH22" s="61"/>
    </row>
    <row r="23" spans="1:86" ht="27.75" customHeight="1" thickBot="1">
      <c r="A23" s="8"/>
      <c r="B23" s="388" t="s">
        <v>110</v>
      </c>
      <c r="C23" s="389"/>
      <c r="D23" s="390" t="s">
        <v>114</v>
      </c>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391"/>
      <c r="AH23" s="391"/>
      <c r="AI23" s="391"/>
      <c r="AJ23" s="391"/>
      <c r="AK23" s="391"/>
      <c r="AL23" s="391"/>
      <c r="AM23" s="391"/>
      <c r="AN23" s="391"/>
      <c r="AO23" s="391"/>
      <c r="AP23" s="391"/>
      <c r="AQ23" s="391"/>
      <c r="AR23" s="391"/>
      <c r="AS23" s="391"/>
      <c r="AT23" s="391"/>
      <c r="AU23" s="391"/>
      <c r="AV23" s="391"/>
      <c r="AW23" s="391"/>
      <c r="AX23" s="391"/>
      <c r="AY23" s="391"/>
      <c r="AZ23" s="391"/>
      <c r="BA23" s="391"/>
      <c r="BB23" s="391"/>
      <c r="BC23" s="391"/>
      <c r="BD23" s="391"/>
      <c r="BE23" s="391"/>
      <c r="BF23" s="391"/>
      <c r="BG23" s="391"/>
      <c r="BH23" s="391"/>
      <c r="BI23" s="391"/>
      <c r="BJ23" s="391"/>
      <c r="BK23" s="391"/>
      <c r="BL23" s="392"/>
      <c r="BM23" s="10"/>
      <c r="BO23" s="59"/>
      <c r="BP23" s="60"/>
      <c r="BQ23" s="60"/>
      <c r="BR23" s="60"/>
      <c r="BS23" s="60"/>
      <c r="BT23" s="60"/>
      <c r="BU23" s="60"/>
      <c r="BV23" s="60"/>
      <c r="BW23" s="60"/>
      <c r="BX23" s="60"/>
      <c r="BY23" s="60"/>
      <c r="BZ23" s="60"/>
      <c r="CA23" s="61"/>
      <c r="CB23" s="61"/>
      <c r="CC23" s="61"/>
      <c r="CD23" s="61"/>
      <c r="CE23" s="61"/>
      <c r="CF23" s="61"/>
      <c r="CG23" s="61"/>
      <c r="CH23" s="61"/>
    </row>
    <row r="24" spans="1:105" ht="12" customHeight="1">
      <c r="A24" s="1"/>
      <c r="B24" s="202" t="s">
        <v>20</v>
      </c>
      <c r="C24" s="203"/>
      <c r="D24" s="298" t="s">
        <v>21</v>
      </c>
      <c r="E24" s="299"/>
      <c r="F24" s="299"/>
      <c r="G24" s="299"/>
      <c r="H24" s="299"/>
      <c r="I24" s="299"/>
      <c r="J24" s="299"/>
      <c r="K24" s="299"/>
      <c r="L24" s="299"/>
      <c r="M24" s="311"/>
      <c r="N24" s="316" t="s">
        <v>22</v>
      </c>
      <c r="O24" s="317"/>
      <c r="P24" s="318"/>
      <c r="Q24" s="325" t="str">
        <f>IF($N$45&gt;0,"未就学児寝具利用","")</f>
        <v>未就学児寝具利用</v>
      </c>
      <c r="R24" s="326"/>
      <c r="S24" s="326"/>
      <c r="T24" s="316" t="s">
        <v>23</v>
      </c>
      <c r="U24" s="317"/>
      <c r="V24" s="317"/>
      <c r="W24" s="317"/>
      <c r="X24" s="317"/>
      <c r="Y24" s="317"/>
      <c r="Z24" s="318"/>
      <c r="AA24" s="351" t="s">
        <v>24</v>
      </c>
      <c r="AB24" s="352"/>
      <c r="AC24" s="352"/>
      <c r="AD24" s="352"/>
      <c r="AE24" s="352"/>
      <c r="AF24" s="352"/>
      <c r="AG24" s="352"/>
      <c r="AH24" s="352"/>
      <c r="AI24" s="352"/>
      <c r="AJ24" s="352"/>
      <c r="AK24" s="352"/>
      <c r="AL24" s="352"/>
      <c r="AM24" s="352"/>
      <c r="AN24" s="352"/>
      <c r="AO24" s="352"/>
      <c r="AP24" s="352"/>
      <c r="AQ24" s="352"/>
      <c r="AR24" s="353"/>
      <c r="AS24" s="356" t="s">
        <v>129</v>
      </c>
      <c r="AT24" s="252"/>
      <c r="AU24" s="252"/>
      <c r="AV24" s="252"/>
      <c r="AW24" s="252"/>
      <c r="AX24" s="252"/>
      <c r="AY24" s="252"/>
      <c r="AZ24" s="252"/>
      <c r="BA24" s="252"/>
      <c r="BB24" s="252"/>
      <c r="BC24" s="252"/>
      <c r="BD24" s="252"/>
      <c r="BE24" s="252"/>
      <c r="BF24" s="252"/>
      <c r="BG24" s="252"/>
      <c r="BH24" s="252"/>
      <c r="BI24" s="252"/>
      <c r="BJ24" s="252"/>
      <c r="BK24" s="252"/>
      <c r="BL24" s="357"/>
      <c r="BM24" s="10"/>
      <c r="BO24" s="59" t="s">
        <v>78</v>
      </c>
      <c r="BP24" s="62" t="s">
        <v>41</v>
      </c>
      <c r="BQ24" s="62" t="s">
        <v>41</v>
      </c>
      <c r="BR24" s="62" t="s">
        <v>72</v>
      </c>
      <c r="BS24" s="62" t="s">
        <v>72</v>
      </c>
      <c r="BT24" s="62" t="s">
        <v>91</v>
      </c>
      <c r="BU24" s="63" t="s">
        <v>74</v>
      </c>
      <c r="BV24" s="63" t="s">
        <v>75</v>
      </c>
      <c r="BW24" s="63" t="s">
        <v>80</v>
      </c>
      <c r="BX24" s="63" t="s">
        <v>42</v>
      </c>
      <c r="BY24" s="63" t="s">
        <v>85</v>
      </c>
      <c r="BZ24" s="63" t="s">
        <v>81</v>
      </c>
      <c r="CA24" s="64" t="s">
        <v>67</v>
      </c>
      <c r="CB24" s="64" t="s">
        <v>68</v>
      </c>
      <c r="CC24" s="64" t="s">
        <v>69</v>
      </c>
      <c r="CD24" s="64" t="s">
        <v>70</v>
      </c>
      <c r="CE24" s="64" t="s">
        <v>82</v>
      </c>
      <c r="CF24" s="64" t="s">
        <v>82</v>
      </c>
      <c r="CG24" s="64" t="s">
        <v>82</v>
      </c>
      <c r="CH24" s="341" t="s">
        <v>96</v>
      </c>
      <c r="CI24" s="354" t="s">
        <v>83</v>
      </c>
      <c r="CJ24" s="354"/>
      <c r="CK24" s="354"/>
      <c r="CL24" s="354"/>
      <c r="CM24" s="354"/>
      <c r="CN24" s="354"/>
      <c r="CO24" s="354"/>
      <c r="CP24" s="354"/>
      <c r="CQ24" s="355"/>
      <c r="CR24" s="355"/>
      <c r="CS24" s="355"/>
      <c r="CT24" s="355"/>
      <c r="CU24" s="355"/>
      <c r="CV24" s="355"/>
      <c r="CW24" s="355"/>
      <c r="CX24" s="355"/>
      <c r="CY24" s="355"/>
      <c r="CZ24" s="355"/>
      <c r="DA24" s="341" t="s">
        <v>77</v>
      </c>
    </row>
    <row r="25" spans="1:105" ht="12" customHeight="1">
      <c r="A25" s="1"/>
      <c r="B25" s="204"/>
      <c r="C25" s="205"/>
      <c r="D25" s="300"/>
      <c r="E25" s="301"/>
      <c r="F25" s="301"/>
      <c r="G25" s="301"/>
      <c r="H25" s="301"/>
      <c r="I25" s="301"/>
      <c r="J25" s="301"/>
      <c r="K25" s="301"/>
      <c r="L25" s="301"/>
      <c r="M25" s="312"/>
      <c r="N25" s="319"/>
      <c r="O25" s="320"/>
      <c r="P25" s="321"/>
      <c r="Q25" s="327"/>
      <c r="R25" s="328"/>
      <c r="S25" s="328"/>
      <c r="T25" s="319"/>
      <c r="U25" s="320"/>
      <c r="V25" s="320"/>
      <c r="W25" s="320"/>
      <c r="X25" s="320"/>
      <c r="Y25" s="320"/>
      <c r="Z25" s="321"/>
      <c r="AA25" s="344">
        <f>$D$18</f>
        <v>41667</v>
      </c>
      <c r="AB25" s="345"/>
      <c r="AC25" s="65" t="s">
        <v>25</v>
      </c>
      <c r="AD25" s="346">
        <f>$D$18+1</f>
        <v>41668</v>
      </c>
      <c r="AE25" s="347"/>
      <c r="AF25" s="66" t="s">
        <v>13</v>
      </c>
      <c r="AG25" s="345">
        <f>$D$18+1</f>
        <v>41668</v>
      </c>
      <c r="AH25" s="345"/>
      <c r="AI25" s="65" t="s">
        <v>25</v>
      </c>
      <c r="AJ25" s="346">
        <f>$D$18+2</f>
        <v>41669</v>
      </c>
      <c r="AK25" s="347"/>
      <c r="AL25" s="66" t="s">
        <v>13</v>
      </c>
      <c r="AM25" s="345">
        <f>$D$18+2</f>
        <v>41669</v>
      </c>
      <c r="AN25" s="345"/>
      <c r="AO25" s="65" t="s">
        <v>25</v>
      </c>
      <c r="AP25" s="345">
        <f>$D$18+3</f>
        <v>41670</v>
      </c>
      <c r="AQ25" s="345"/>
      <c r="AR25" s="65" t="s">
        <v>25</v>
      </c>
      <c r="AS25" s="358"/>
      <c r="AT25" s="253"/>
      <c r="AU25" s="253"/>
      <c r="AV25" s="253"/>
      <c r="AW25" s="253"/>
      <c r="AX25" s="253"/>
      <c r="AY25" s="253"/>
      <c r="AZ25" s="253"/>
      <c r="BA25" s="253"/>
      <c r="BB25" s="253"/>
      <c r="BC25" s="253"/>
      <c r="BD25" s="253"/>
      <c r="BE25" s="253"/>
      <c r="BF25" s="253"/>
      <c r="BG25" s="253"/>
      <c r="BH25" s="253"/>
      <c r="BI25" s="253"/>
      <c r="BJ25" s="253"/>
      <c r="BK25" s="253"/>
      <c r="BL25" s="359"/>
      <c r="BM25" s="10"/>
      <c r="BO25" s="59" t="s">
        <v>76</v>
      </c>
      <c r="BP25" s="6">
        <v>1500</v>
      </c>
      <c r="BQ25" s="6">
        <v>4000</v>
      </c>
      <c r="BR25" s="6">
        <v>750</v>
      </c>
      <c r="BS25" s="6">
        <v>2000</v>
      </c>
      <c r="BT25" s="67">
        <v>0</v>
      </c>
      <c r="BU25" s="6">
        <v>300</v>
      </c>
      <c r="BV25" s="6">
        <v>1500</v>
      </c>
      <c r="BW25" s="6">
        <v>350</v>
      </c>
      <c r="BX25" s="6">
        <v>600</v>
      </c>
      <c r="BY25" s="67">
        <v>0</v>
      </c>
      <c r="BZ25" s="6">
        <v>150</v>
      </c>
      <c r="CA25" s="4">
        <v>82000</v>
      </c>
      <c r="CB25" s="4">
        <v>8000</v>
      </c>
      <c r="CC25" s="4">
        <v>1000</v>
      </c>
      <c r="CD25" s="4">
        <v>1000</v>
      </c>
      <c r="CE25" s="4">
        <v>1500</v>
      </c>
      <c r="CF25" s="4">
        <v>2000</v>
      </c>
      <c r="CG25" s="68">
        <v>0</v>
      </c>
      <c r="CH25" s="342"/>
      <c r="CI25" s="362" t="s">
        <v>44</v>
      </c>
      <c r="CJ25" s="363"/>
      <c r="CK25" s="363"/>
      <c r="CL25" s="363"/>
      <c r="CM25" s="363"/>
      <c r="CN25" s="363"/>
      <c r="CO25" s="363"/>
      <c r="CP25" s="363"/>
      <c r="CQ25" s="348" t="s">
        <v>84</v>
      </c>
      <c r="CR25" s="364"/>
      <c r="CS25" s="365"/>
      <c r="CT25" s="348" t="s">
        <v>92</v>
      </c>
      <c r="CU25" s="349"/>
      <c r="CV25" s="349"/>
      <c r="CW25" s="350"/>
      <c r="CX25" s="69" t="s">
        <v>95</v>
      </c>
      <c r="CY25" s="69" t="s">
        <v>93</v>
      </c>
      <c r="CZ25" s="70" t="s">
        <v>94</v>
      </c>
      <c r="DA25" s="342"/>
    </row>
    <row r="26" spans="1:105" ht="12" customHeight="1" thickBot="1">
      <c r="A26" s="1"/>
      <c r="B26" s="204"/>
      <c r="C26" s="205"/>
      <c r="D26" s="313"/>
      <c r="E26" s="314"/>
      <c r="F26" s="314"/>
      <c r="G26" s="314"/>
      <c r="H26" s="314"/>
      <c r="I26" s="314"/>
      <c r="J26" s="314"/>
      <c r="K26" s="314"/>
      <c r="L26" s="314"/>
      <c r="M26" s="315"/>
      <c r="N26" s="322"/>
      <c r="O26" s="323"/>
      <c r="P26" s="324"/>
      <c r="Q26" s="329"/>
      <c r="R26" s="330"/>
      <c r="S26" s="330"/>
      <c r="T26" s="322"/>
      <c r="U26" s="323"/>
      <c r="V26" s="323"/>
      <c r="W26" s="323"/>
      <c r="X26" s="323"/>
      <c r="Y26" s="323"/>
      <c r="Z26" s="324"/>
      <c r="AA26" s="351" t="s">
        <v>26</v>
      </c>
      <c r="AB26" s="352"/>
      <c r="AC26" s="353"/>
      <c r="AD26" s="351" t="s">
        <v>27</v>
      </c>
      <c r="AE26" s="352"/>
      <c r="AF26" s="353"/>
      <c r="AG26" s="351" t="s">
        <v>26</v>
      </c>
      <c r="AH26" s="352"/>
      <c r="AI26" s="353"/>
      <c r="AJ26" s="351" t="s">
        <v>27</v>
      </c>
      <c r="AK26" s="352"/>
      <c r="AL26" s="353"/>
      <c r="AM26" s="351" t="s">
        <v>26</v>
      </c>
      <c r="AN26" s="352"/>
      <c r="AO26" s="353"/>
      <c r="AP26" s="351" t="s">
        <v>27</v>
      </c>
      <c r="AQ26" s="352"/>
      <c r="AR26" s="353"/>
      <c r="AS26" s="256"/>
      <c r="AT26" s="254"/>
      <c r="AU26" s="254"/>
      <c r="AV26" s="254"/>
      <c r="AW26" s="254"/>
      <c r="AX26" s="254"/>
      <c r="AY26" s="254"/>
      <c r="AZ26" s="254"/>
      <c r="BA26" s="254"/>
      <c r="BB26" s="254"/>
      <c r="BC26" s="254"/>
      <c r="BD26" s="254"/>
      <c r="BE26" s="254"/>
      <c r="BF26" s="254"/>
      <c r="BG26" s="254"/>
      <c r="BH26" s="254"/>
      <c r="BI26" s="254"/>
      <c r="BJ26" s="254"/>
      <c r="BK26" s="254"/>
      <c r="BL26" s="360"/>
      <c r="BM26" s="10"/>
      <c r="BN26" s="71"/>
      <c r="BP26" s="72">
        <v>1</v>
      </c>
      <c r="BQ26" s="73">
        <v>2</v>
      </c>
      <c r="BR26" s="73">
        <v>3</v>
      </c>
      <c r="BS26" s="73">
        <v>4</v>
      </c>
      <c r="BT26" s="73">
        <v>5</v>
      </c>
      <c r="BU26" s="73">
        <v>6</v>
      </c>
      <c r="BV26" s="73">
        <v>7</v>
      </c>
      <c r="BW26" s="74">
        <v>8</v>
      </c>
      <c r="BX26" s="72">
        <v>9</v>
      </c>
      <c r="BY26" s="73">
        <v>10</v>
      </c>
      <c r="BZ26" s="74">
        <v>11</v>
      </c>
      <c r="CA26" s="72">
        <v>12</v>
      </c>
      <c r="CB26" s="73">
        <v>13</v>
      </c>
      <c r="CC26" s="73">
        <v>14</v>
      </c>
      <c r="CD26" s="74">
        <v>15</v>
      </c>
      <c r="CE26" s="75">
        <v>16</v>
      </c>
      <c r="CF26" s="76">
        <v>17</v>
      </c>
      <c r="CG26" s="77">
        <v>18</v>
      </c>
      <c r="CH26" s="343"/>
      <c r="CI26" s="78">
        <v>1</v>
      </c>
      <c r="CJ26" s="79">
        <v>2</v>
      </c>
      <c r="CK26" s="79">
        <v>3</v>
      </c>
      <c r="CL26" s="79">
        <v>4</v>
      </c>
      <c r="CM26" s="79">
        <v>5</v>
      </c>
      <c r="CN26" s="79">
        <v>6</v>
      </c>
      <c r="CO26" s="79">
        <v>7</v>
      </c>
      <c r="CP26" s="80">
        <v>8</v>
      </c>
      <c r="CQ26" s="81">
        <v>9</v>
      </c>
      <c r="CR26" s="82">
        <v>10</v>
      </c>
      <c r="CS26" s="83">
        <v>11</v>
      </c>
      <c r="CT26" s="81">
        <v>12</v>
      </c>
      <c r="CU26" s="82">
        <v>13</v>
      </c>
      <c r="CV26" s="82">
        <v>14</v>
      </c>
      <c r="CW26" s="83">
        <v>15</v>
      </c>
      <c r="CX26" s="84">
        <v>16</v>
      </c>
      <c r="CY26" s="84">
        <v>17</v>
      </c>
      <c r="CZ26" s="85">
        <v>18</v>
      </c>
      <c r="DA26" s="343"/>
    </row>
    <row r="27" spans="1:105" ht="15.75" customHeight="1">
      <c r="A27" s="1"/>
      <c r="B27" s="204"/>
      <c r="C27" s="205"/>
      <c r="D27" s="217" t="s">
        <v>1</v>
      </c>
      <c r="E27" s="218"/>
      <c r="F27" s="218"/>
      <c r="G27" s="218"/>
      <c r="H27" s="218"/>
      <c r="I27" s="218"/>
      <c r="J27" s="218"/>
      <c r="K27" s="218"/>
      <c r="L27" s="218"/>
      <c r="M27" s="219"/>
      <c r="N27" s="223">
        <v>60</v>
      </c>
      <c r="O27" s="224"/>
      <c r="P27" s="225"/>
      <c r="Q27" s="331"/>
      <c r="R27" s="332"/>
      <c r="S27" s="332"/>
      <c r="T27" s="335" t="s">
        <v>58</v>
      </c>
      <c r="U27" s="336"/>
      <c r="V27" s="336"/>
      <c r="W27" s="336"/>
      <c r="X27" s="336"/>
      <c r="Y27" s="336"/>
      <c r="Z27" s="337"/>
      <c r="AA27" s="211" t="s">
        <v>0</v>
      </c>
      <c r="AB27" s="212"/>
      <c r="AC27" s="213"/>
      <c r="AD27" s="211" t="s">
        <v>0</v>
      </c>
      <c r="AE27" s="212"/>
      <c r="AF27" s="213"/>
      <c r="AG27" s="211"/>
      <c r="AH27" s="212"/>
      <c r="AI27" s="213"/>
      <c r="AJ27" s="211"/>
      <c r="AK27" s="212"/>
      <c r="AL27" s="213"/>
      <c r="AM27" s="211"/>
      <c r="AN27" s="212"/>
      <c r="AO27" s="213"/>
      <c r="AP27" s="211"/>
      <c r="AQ27" s="212"/>
      <c r="AR27" s="213"/>
      <c r="AS27" s="361" t="str">
        <f>IF(D27="","",DA27)</f>
        <v>リネン料+入湯税＝合計</v>
      </c>
      <c r="AT27" s="197"/>
      <c r="AU27" s="197"/>
      <c r="AV27" s="197"/>
      <c r="AW27" s="197"/>
      <c r="AX27" s="197"/>
      <c r="AY27" s="197"/>
      <c r="AZ27" s="197"/>
      <c r="BA27" s="197"/>
      <c r="BB27" s="197"/>
      <c r="BC27" s="197"/>
      <c r="BD27" s="197"/>
      <c r="BE27" s="197"/>
      <c r="BF27" s="197"/>
      <c r="BG27" s="197"/>
      <c r="BH27" s="197"/>
      <c r="BI27" s="197"/>
      <c r="BJ27" s="197"/>
      <c r="BK27" s="197"/>
      <c r="BL27" s="198"/>
      <c r="BM27" s="10">
        <f>IF(N27="",0,IF(OR(N27=0,N27=1,N27=2,N27=3,N27=4,N27=5),1,0))</f>
        <v>0</v>
      </c>
      <c r="BN27" s="86"/>
      <c r="BP27" s="87"/>
      <c r="BQ27" s="88"/>
      <c r="BR27" s="88"/>
      <c r="BS27" s="88"/>
      <c r="BT27" s="88"/>
      <c r="BU27" s="88"/>
      <c r="BV27" s="88"/>
      <c r="BW27" s="89"/>
      <c r="BX27" s="87"/>
      <c r="BY27" s="88"/>
      <c r="BZ27" s="89"/>
      <c r="CA27" s="87"/>
      <c r="CB27" s="88"/>
      <c r="CC27" s="88"/>
      <c r="CD27" s="89"/>
      <c r="CE27" s="90"/>
      <c r="CF27" s="88"/>
      <c r="CG27" s="91"/>
      <c r="CH27" s="92"/>
      <c r="CI27" s="93">
        <f>IF(BP28&gt;0,BP$24,"")</f>
      </c>
      <c r="CJ27" s="94">
        <f>IF(BQ28&gt;0,BQ$24,"")</f>
      </c>
      <c r="CK27" s="94">
        <f aca="true" t="shared" si="0" ref="CK27:CZ27">IF(BR28&gt;0,BR$24,"")</f>
      </c>
      <c r="CL27" s="94">
        <f t="shared" si="0"/>
      </c>
      <c r="CM27" s="94">
        <f t="shared" si="0"/>
      </c>
      <c r="CN27" s="94">
        <f t="shared" si="0"/>
      </c>
      <c r="CO27" s="94">
        <f t="shared" si="0"/>
      </c>
      <c r="CP27" s="95">
        <f t="shared" si="0"/>
      </c>
      <c r="CQ27" s="96" t="str">
        <f t="shared" si="0"/>
        <v>リネン料</v>
      </c>
      <c r="CR27" s="94">
        <f t="shared" si="0"/>
      </c>
      <c r="CS27" s="95" t="str">
        <f t="shared" si="0"/>
        <v>+入湯税</v>
      </c>
      <c r="CT27" s="96">
        <f t="shared" si="0"/>
      </c>
      <c r="CU27" s="94">
        <f>IF(CB28&gt;0,IF($J$5&gt;0,"+","")&amp;CB$24,"")</f>
      </c>
      <c r="CV27" s="94">
        <f>IF(CC28&gt;0,IF(SUM($J$5:$L$6)&gt;0,"+","")&amp;CC$24,"")</f>
      </c>
      <c r="CW27" s="95">
        <f>IF(CD28&gt;0,IF(SUM($J$5:$L$7)&gt;0,"+","")&amp;CD$24,"")</f>
      </c>
      <c r="CX27" s="97">
        <f t="shared" si="0"/>
      </c>
      <c r="CY27" s="97">
        <f t="shared" si="0"/>
      </c>
      <c r="CZ27" s="98">
        <f t="shared" si="0"/>
      </c>
      <c r="DA27" s="99" t="str">
        <f>CI27&amp;CJ27&amp;CK27&amp;CL27&amp;CM27&amp;CN27&amp;CO27&amp;CP27&amp;CQ27&amp;CR27&amp;CS27&amp;CT27&amp;CU27&amp;CV27&amp;CW27&amp;CX27&amp;CY27&amp;CZ27&amp;IF(AND(CH28&gt;0,BO28&gt;1),"＝合計","")</f>
        <v>リネン料+入湯税＝合計</v>
      </c>
    </row>
    <row r="28" spans="1:105" ht="15.75" customHeight="1">
      <c r="A28" s="1"/>
      <c r="B28" s="204"/>
      <c r="C28" s="205"/>
      <c r="D28" s="220"/>
      <c r="E28" s="221"/>
      <c r="F28" s="221"/>
      <c r="G28" s="221"/>
      <c r="H28" s="221"/>
      <c r="I28" s="221"/>
      <c r="J28" s="221"/>
      <c r="K28" s="221"/>
      <c r="L28" s="221"/>
      <c r="M28" s="222"/>
      <c r="N28" s="223"/>
      <c r="O28" s="224"/>
      <c r="P28" s="225"/>
      <c r="Q28" s="333"/>
      <c r="R28" s="334"/>
      <c r="S28" s="334"/>
      <c r="T28" s="338"/>
      <c r="U28" s="339"/>
      <c r="V28" s="339"/>
      <c r="W28" s="339"/>
      <c r="X28" s="339"/>
      <c r="Y28" s="339"/>
      <c r="Z28" s="340"/>
      <c r="AA28" s="214"/>
      <c r="AB28" s="215"/>
      <c r="AC28" s="216"/>
      <c r="AD28" s="214"/>
      <c r="AE28" s="215"/>
      <c r="AF28" s="216"/>
      <c r="AG28" s="214"/>
      <c r="AH28" s="215"/>
      <c r="AI28" s="216"/>
      <c r="AJ28" s="214"/>
      <c r="AK28" s="215"/>
      <c r="AL28" s="216"/>
      <c r="AM28" s="214"/>
      <c r="AN28" s="215"/>
      <c r="AO28" s="216"/>
      <c r="AP28" s="214"/>
      <c r="AQ28" s="215"/>
      <c r="AR28" s="216"/>
      <c r="AS28" s="235" t="str">
        <f>IF(D27="","",DA28)</f>
        <v>¥600+¥150=¥750</v>
      </c>
      <c r="AT28" s="236"/>
      <c r="AU28" s="236"/>
      <c r="AV28" s="236"/>
      <c r="AW28" s="236"/>
      <c r="AX28" s="236"/>
      <c r="AY28" s="236"/>
      <c r="AZ28" s="236"/>
      <c r="BA28" s="236"/>
      <c r="BB28" s="236"/>
      <c r="BC28" s="236"/>
      <c r="BD28" s="236"/>
      <c r="BE28" s="236"/>
      <c r="BF28" s="236"/>
      <c r="BG28" s="236"/>
      <c r="BH28" s="236"/>
      <c r="BI28" s="236"/>
      <c r="BJ28" s="236"/>
      <c r="BK28" s="236"/>
      <c r="BL28" s="237"/>
      <c r="BM28" s="10"/>
      <c r="BN28" s="86"/>
      <c r="BO28" s="6">
        <f>COUNTIF(BP28:CG28,"&gt;0")</f>
        <v>2</v>
      </c>
      <c r="BP28" s="100">
        <f>IF(AND($B$4="志賀山荘",D27&lt;&gt;""),IF($BM27=1,0,IF(OR($T27="本人",$T27="配偶者",$T27="子",$T27="父母",$T27="義父母",$T27="同居の親族"),$P$18,0)),0)</f>
        <v>0</v>
      </c>
      <c r="BQ28" s="101">
        <f>IF(AND($B$4="志賀山荘",D27&lt;&gt;""),IF($BM27=1,0,IF($T27="その他",$P$18,0)),0)</f>
        <v>0</v>
      </c>
      <c r="BR28" s="101">
        <f>IF(AND($B$4="志賀山荘",D27&lt;&gt;""),IF(AND(OR($T27="本人",$T27="配偶者",$T27="子",$T27="父母",$T27="義父母",$T27="同居の親族"),$BM27=1,$Q27="有"),$P$18,0),0)</f>
        <v>0</v>
      </c>
      <c r="BS28" s="101">
        <f>IF(AND($B$4="志賀山荘",D27&lt;&gt;""),IF(AND($T27="その他",$BM27=1,$Q27="有"),$P$18,0),0)</f>
        <v>0</v>
      </c>
      <c r="BT28" s="101">
        <f>IF(AND($B$4="志賀山荘",D27&lt;&gt;""),IF($BM27=0,0,IF($Q27="無",$P$18,0)),0)</f>
        <v>0</v>
      </c>
      <c r="BU28" s="101">
        <f>IF(AND($B$4="志賀山荘",D27&lt;&gt;""),IF(OR($BM$18&gt;10,$BM$18&lt;4),IF($BT28=0,IF(SUM(BP28:BS28)&gt;0,$P$18,0),0),0),0)</f>
        <v>0</v>
      </c>
      <c r="BV28" s="101">
        <f>IF(AND($B$4="志賀山荘",D27&lt;&gt;""),COUNTIF($AA27,"○")+COUNTIF($AG27,"○")+COUNTIF($AM27,"○"),0)</f>
        <v>0</v>
      </c>
      <c r="BW28" s="102">
        <f>IF(AND($B$4="志賀山荘",D27&lt;&gt;""),COUNTIF($AD27,"○")+COUNTIF($AJ27,"○")+COUNTIF($AP27,"○"),0)</f>
        <v>0</v>
      </c>
      <c r="BX28" s="100">
        <f>IF(AND($B$4="勝浦ﾎﾃﾙ三日月",D27&lt;&gt;""),IF(AND(COUNTA($T27)=1,$BM27=1),IF(Q27="無",0,$P$18),$P$18),0)</f>
        <v>1</v>
      </c>
      <c r="BY28" s="101">
        <f>IF(AND($B$4="勝浦ﾎﾃﾙ三日月",D27&lt;&gt;""),IF(AND(COUNTA($T27)=1,$BM27=1,Q27="無"),$P$18,0),0)</f>
        <v>0</v>
      </c>
      <c r="BZ28" s="102">
        <f>IF(AND($B$4="勝浦ﾎﾃﾙ三日月",D27&lt;&gt;""),IF(AND(COUNTA($T27)=1,$N27&gt;11),$P$18,0),0)</f>
        <v>1</v>
      </c>
      <c r="CA28" s="100">
        <f>IF(AND($B5="ﾙｽﾂA.宿泊ﾊﾟｯｸ",D27&lt;&gt;""),$J5,0)</f>
        <v>0</v>
      </c>
      <c r="CB28" s="101">
        <f>IF(AND($B6="ﾙｽﾂB.宿泊券",D27&lt;&gt;""),$J6,0)</f>
        <v>0</v>
      </c>
      <c r="CC28" s="101">
        <f>IF(AND($B7="ﾙｽﾂC.割引券",D27&lt;&gt;""),$J7,0)</f>
        <v>0</v>
      </c>
      <c r="CD28" s="102">
        <f>IF(AND($B8="ﾙｽﾂD.ﾎﾟｲﾝﾄ券",D27&lt;&gt;""),$J8,0)</f>
        <v>0</v>
      </c>
      <c r="CE28" s="103">
        <f>IF(AND($B4="ｽｶｲﾊﾟｰｸﾎﾃﾙ",D27&lt;&gt;""),$J4,0)</f>
        <v>0</v>
      </c>
      <c r="CF28" s="101">
        <f>IF(AND($B4="穂高ﾋﾞｭｰﾎﾃﾙ",D27&lt;&gt;""),$J4,0)</f>
        <v>0</v>
      </c>
      <c r="CG28" s="104">
        <f>IF(AND($B4="由布院倶楽部",D27&lt;&gt;""),$J4,0)</f>
        <v>0</v>
      </c>
      <c r="CH28" s="105">
        <f>SUM(BP$25*BP28,BQ$25*BQ28,BR$25*BR28,BS$25*BS28,BT$25*BT28,BU$25*BU28,BV$25*BV28,BW$25*BW28,BX$25*BX28,BY$25*BY28,BZ$25*BZ28,CA$25*CA28,CB$25*CB28,CC$25*CC28,CD$25*CD28,CE$25*CE28,CF$25*CF28,CG$25*CG28)</f>
        <v>750</v>
      </c>
      <c r="CI28" s="106">
        <f>IF(BP28&gt;0,TEXT(BP$25*BP28,"\#,##0"),"")</f>
      </c>
      <c r="CJ28" s="107">
        <f>IF(BQ28&gt;0,TEXT(BQ$25*BQ28,"\#,##0"),"")</f>
      </c>
      <c r="CK28" s="107">
        <f>IF(BR28&gt;0,TEXT(BR$25*BR28,"\#,##0"),"")</f>
      </c>
      <c r="CL28" s="107">
        <f>IF(BS28&gt;0,TEXT(BS$25*BS28,"\#,##0"),"")</f>
      </c>
      <c r="CM28" s="107">
        <f>IF(BT28&gt;0,TEXT(BT$25*BT28,"\#,##0"),"")</f>
      </c>
      <c r="CN28" s="107">
        <f>IF(BU28&gt;0,TEXT(BU$25*BU28,"+\#,##0"),"")</f>
      </c>
      <c r="CO28" s="107">
        <f>IF(BV28&gt;0,TEXT(BV$25*BV28,"+\#,##0"),"")</f>
      </c>
      <c r="CP28" s="108">
        <f>IF(BW28&gt;0,TEXT(BW$25*BW28,"+\#,##0"),"")</f>
      </c>
      <c r="CQ28" s="109" t="str">
        <f>IF(BX28&gt;0,TEXT(BX$25*BX28,"\#,##0"),"")</f>
        <v>¥600</v>
      </c>
      <c r="CR28" s="107">
        <f>IF(BY28&gt;0,TEXT(BY$25*BY28,"\#,##0"),"")</f>
      </c>
      <c r="CS28" s="108" t="str">
        <f>IF(BZ28&gt;0,TEXT(BZ$25*BZ28,"+\#,##0"),"")</f>
        <v>+¥150</v>
      </c>
      <c r="CT28" s="109">
        <f>IF(CA28&gt;0,TEXT(CA$25*CA28,"\#,##0"),"")</f>
      </c>
      <c r="CU28" s="107">
        <f>IF(CB28&gt;0,IF($J$5&gt;0,"+","")&amp;TEXT(CB$25*CB28,"\#,##0"),"")</f>
      </c>
      <c r="CV28" s="107">
        <f>IF(CC28&gt;0,IF(SUM($J$5:$L$6)&gt;0,"+","")&amp;TEXT(CC$25*CC28,"\#,##0"),"")</f>
      </c>
      <c r="CW28" s="108">
        <f>IF(CD28&gt;0,IF(SUM($J$5:$L$7)&gt;0,"+","")&amp;TEXT(CD$25*CD28,"\#,##0"),"")</f>
      </c>
      <c r="CX28" s="110">
        <f>IF(CE28&gt;0,TEXT(CE$25*CE28,"\#,##0"),"")</f>
      </c>
      <c r="CY28" s="110">
        <f>IF(CF28&gt;0,TEXT(CF$25*CF28,"\#,##0"),"")</f>
      </c>
      <c r="CZ28" s="111">
        <f>IF(CG28&gt;0,TEXT(CG$25*CG28,"\#,##0"),"")</f>
      </c>
      <c r="DA28" s="112" t="str">
        <f>IF(CH28=0,"- ",CI28&amp;CJ28&amp;CK28&amp;CL28&amp;CM28&amp;CN28&amp;CO28&amp;CP28&amp;CQ28&amp;CR28&amp;CS28&amp;CT28&amp;CU28&amp;CV28&amp;CW28&amp;CX28&amp;CY28&amp;CZ28&amp;IF(BO28&gt;1,TEXT(CH28,"=\#,##0"),""))</f>
        <v>¥600+¥150=¥750</v>
      </c>
    </row>
    <row r="29" spans="1:105" ht="15.75" customHeight="1">
      <c r="A29" s="1"/>
      <c r="B29" s="204"/>
      <c r="C29" s="205"/>
      <c r="D29" s="217" t="s">
        <v>59</v>
      </c>
      <c r="E29" s="218"/>
      <c r="F29" s="218"/>
      <c r="G29" s="218"/>
      <c r="H29" s="218"/>
      <c r="I29" s="218"/>
      <c r="J29" s="218"/>
      <c r="K29" s="218"/>
      <c r="L29" s="218"/>
      <c r="M29" s="219"/>
      <c r="N29" s="223">
        <v>55</v>
      </c>
      <c r="O29" s="224"/>
      <c r="P29" s="225"/>
      <c r="Q29" s="331"/>
      <c r="R29" s="332"/>
      <c r="S29" s="332"/>
      <c r="T29" s="335" t="s">
        <v>61</v>
      </c>
      <c r="U29" s="336"/>
      <c r="V29" s="336"/>
      <c r="W29" s="336"/>
      <c r="X29" s="336"/>
      <c r="Y29" s="336"/>
      <c r="Z29" s="337"/>
      <c r="AA29" s="211" t="s">
        <v>0</v>
      </c>
      <c r="AB29" s="212"/>
      <c r="AC29" s="213"/>
      <c r="AD29" s="211" t="s">
        <v>0</v>
      </c>
      <c r="AE29" s="212"/>
      <c r="AF29" s="213"/>
      <c r="AG29" s="211"/>
      <c r="AH29" s="212"/>
      <c r="AI29" s="213"/>
      <c r="AJ29" s="211"/>
      <c r="AK29" s="212"/>
      <c r="AL29" s="213"/>
      <c r="AM29" s="211"/>
      <c r="AN29" s="212"/>
      <c r="AO29" s="213"/>
      <c r="AP29" s="211"/>
      <c r="AQ29" s="212"/>
      <c r="AR29" s="213"/>
      <c r="AS29" s="361" t="str">
        <f>IF(D29="","",DA29)</f>
        <v>リネン料+入湯税＝合計</v>
      </c>
      <c r="AT29" s="197"/>
      <c r="AU29" s="197"/>
      <c r="AV29" s="197"/>
      <c r="AW29" s="197"/>
      <c r="AX29" s="197"/>
      <c r="AY29" s="197"/>
      <c r="AZ29" s="197"/>
      <c r="BA29" s="197"/>
      <c r="BB29" s="197"/>
      <c r="BC29" s="197"/>
      <c r="BD29" s="197"/>
      <c r="BE29" s="197"/>
      <c r="BF29" s="197"/>
      <c r="BG29" s="197"/>
      <c r="BH29" s="197"/>
      <c r="BI29" s="197"/>
      <c r="BJ29" s="197"/>
      <c r="BK29" s="197"/>
      <c r="BL29" s="198"/>
      <c r="BM29" s="10">
        <f>IF(N29="",0,IF(OR(N29=0,N29=1,N29=2,N29=3,N29=4,N29=5),1,0))</f>
        <v>0</v>
      </c>
      <c r="BN29" s="86"/>
      <c r="BP29" s="87"/>
      <c r="BQ29" s="88"/>
      <c r="BR29" s="88"/>
      <c r="BS29" s="88"/>
      <c r="BT29" s="88"/>
      <c r="BU29" s="88"/>
      <c r="BV29" s="88"/>
      <c r="BW29" s="89"/>
      <c r="BX29" s="87"/>
      <c r="BY29" s="88"/>
      <c r="BZ29" s="89"/>
      <c r="CA29" s="87"/>
      <c r="CB29" s="88"/>
      <c r="CC29" s="88"/>
      <c r="CD29" s="89"/>
      <c r="CE29" s="90"/>
      <c r="CF29" s="88"/>
      <c r="CG29" s="91"/>
      <c r="CH29" s="113"/>
      <c r="CI29" s="93">
        <f aca="true" t="shared" si="1" ref="CI29:CS29">IF(BP30&gt;0,BP$24,"")</f>
      </c>
      <c r="CJ29" s="94">
        <f t="shared" si="1"/>
      </c>
      <c r="CK29" s="94">
        <f t="shared" si="1"/>
      </c>
      <c r="CL29" s="94">
        <f t="shared" si="1"/>
      </c>
      <c r="CM29" s="94">
        <f t="shared" si="1"/>
      </c>
      <c r="CN29" s="94">
        <f t="shared" si="1"/>
      </c>
      <c r="CO29" s="94">
        <f t="shared" si="1"/>
      </c>
      <c r="CP29" s="95">
        <f t="shared" si="1"/>
      </c>
      <c r="CQ29" s="96" t="str">
        <f t="shared" si="1"/>
        <v>リネン料</v>
      </c>
      <c r="CR29" s="94">
        <f t="shared" si="1"/>
      </c>
      <c r="CS29" s="95" t="str">
        <f t="shared" si="1"/>
        <v>+入湯税</v>
      </c>
      <c r="CT29" s="114"/>
      <c r="CU29" s="115"/>
      <c r="CV29" s="115"/>
      <c r="CW29" s="116"/>
      <c r="CX29" s="117"/>
      <c r="CY29" s="117"/>
      <c r="CZ29" s="118"/>
      <c r="DA29" s="119" t="str">
        <f>CI29&amp;CJ29&amp;CK29&amp;CL29&amp;CM29&amp;CN29&amp;CO29&amp;CP29&amp;CQ29&amp;CR29&amp;CS29&amp;CT29&amp;CU29&amp;CV29&amp;CW29&amp;CX29&amp;CY29&amp;CZ29&amp;IF(AND(CH30&gt;0,BO30&gt;1),"＝合計","")</f>
        <v>リネン料+入湯税＝合計</v>
      </c>
    </row>
    <row r="30" spans="1:105" ht="15.75" customHeight="1">
      <c r="A30" s="1"/>
      <c r="B30" s="204"/>
      <c r="C30" s="205"/>
      <c r="D30" s="220"/>
      <c r="E30" s="221"/>
      <c r="F30" s="221"/>
      <c r="G30" s="221"/>
      <c r="H30" s="221"/>
      <c r="I30" s="221"/>
      <c r="J30" s="221"/>
      <c r="K30" s="221"/>
      <c r="L30" s="221"/>
      <c r="M30" s="222"/>
      <c r="N30" s="223"/>
      <c r="O30" s="224"/>
      <c r="P30" s="225"/>
      <c r="Q30" s="333"/>
      <c r="R30" s="334"/>
      <c r="S30" s="334"/>
      <c r="T30" s="338"/>
      <c r="U30" s="339"/>
      <c r="V30" s="339"/>
      <c r="W30" s="339"/>
      <c r="X30" s="339"/>
      <c r="Y30" s="339"/>
      <c r="Z30" s="340"/>
      <c r="AA30" s="214"/>
      <c r="AB30" s="215"/>
      <c r="AC30" s="216"/>
      <c r="AD30" s="214"/>
      <c r="AE30" s="215"/>
      <c r="AF30" s="216"/>
      <c r="AG30" s="214"/>
      <c r="AH30" s="215"/>
      <c r="AI30" s="216"/>
      <c r="AJ30" s="214"/>
      <c r="AK30" s="215"/>
      <c r="AL30" s="216"/>
      <c r="AM30" s="214"/>
      <c r="AN30" s="215"/>
      <c r="AO30" s="216"/>
      <c r="AP30" s="214"/>
      <c r="AQ30" s="215"/>
      <c r="AR30" s="216"/>
      <c r="AS30" s="235" t="str">
        <f>IF(D29="","",DA30)</f>
        <v>¥600+¥150=¥750</v>
      </c>
      <c r="AT30" s="236"/>
      <c r="AU30" s="236"/>
      <c r="AV30" s="236"/>
      <c r="AW30" s="236"/>
      <c r="AX30" s="236"/>
      <c r="AY30" s="236"/>
      <c r="AZ30" s="236"/>
      <c r="BA30" s="236"/>
      <c r="BB30" s="236"/>
      <c r="BC30" s="236"/>
      <c r="BD30" s="236"/>
      <c r="BE30" s="236"/>
      <c r="BF30" s="236"/>
      <c r="BG30" s="236"/>
      <c r="BH30" s="236"/>
      <c r="BI30" s="236"/>
      <c r="BJ30" s="236"/>
      <c r="BK30" s="236"/>
      <c r="BL30" s="237"/>
      <c r="BM30" s="10"/>
      <c r="BN30" s="86"/>
      <c r="BO30" s="6">
        <f>COUNTIF(BP30:CG30,"&gt;0")</f>
        <v>2</v>
      </c>
      <c r="BP30" s="100">
        <f>IF(AND($B$4="志賀山荘",D29&lt;&gt;""),IF($BM29=1,0,IF(OR($T29="本人",$T29="配偶者",$T29="子",$T29="父母",$T29="義父母",$T29="同居の親族"),$P$18,0)),0)</f>
        <v>0</v>
      </c>
      <c r="BQ30" s="101">
        <f>IF(AND($B$4="志賀山荘",D29&lt;&gt;""),IF($BM29=1,0,IF($T29="その他",$P$18,0)),0)</f>
        <v>0</v>
      </c>
      <c r="BR30" s="101">
        <f>IF(AND($B$4="志賀山荘",D29&lt;&gt;""),IF(AND(OR($T29="本人",$T29="配偶者",$T29="子",$T29="父母",$T29="義父母",$T29="同居の親族"),$BM29=1,$Q29="有"),$P$18,0),0)</f>
        <v>0</v>
      </c>
      <c r="BS30" s="101">
        <f>IF(AND($B$4="志賀山荘",D29&lt;&gt;""),IF(AND($T29="その他",$BM29=1,$Q29="有"),$P$18,0),0)</f>
        <v>0</v>
      </c>
      <c r="BT30" s="101">
        <f>IF(AND($B$4="志賀山荘",D29&lt;&gt;""),IF($BM29=0,0,IF($Q29="無",$P$18,0)),0)</f>
        <v>0</v>
      </c>
      <c r="BU30" s="101">
        <f>IF(AND($B$4="志賀山荘",D29&lt;&gt;""),IF(OR($BM$18&gt;10,$BM$18&lt;4),IF($BT30=0,IF(SUM(BP30:BS30)&gt;0,$P$18,0),0),0),0)</f>
        <v>0</v>
      </c>
      <c r="BV30" s="101">
        <f>IF(AND($B$4="志賀山荘",D29&lt;&gt;""),COUNTIF($AA29,"○")+COUNTIF($AG29,"○")+COUNTIF($AM29,"○"),0)</f>
        <v>0</v>
      </c>
      <c r="BW30" s="102">
        <f>IF(AND($B$4="志賀山荘",D29&lt;&gt;""),COUNTIF($AD29,"○")+COUNTIF($AJ29,"○")+COUNTIF($AP29,"○"),0)</f>
        <v>0</v>
      </c>
      <c r="BX30" s="100">
        <f>IF(AND($B$4="勝浦ﾎﾃﾙ三日月",D29&lt;&gt;""),IF(AND(COUNTA($T29)=1,$BM29=1),IF(Q29="無",0,$P$18),$P$18),0)</f>
        <v>1</v>
      </c>
      <c r="BY30" s="101">
        <f>IF(AND($B$4="勝浦ﾎﾃﾙ三日月",D29&lt;&gt;""),IF(AND(COUNTA($T29)=1,$BM29=1,Q29="無"),$P$18,0),0)</f>
        <v>0</v>
      </c>
      <c r="BZ30" s="102">
        <f>IF(AND($B$4="勝浦ﾎﾃﾙ三日月",D29&lt;&gt;""),IF(AND(COUNTA($T29)=1,$N29&gt;11),$P$18,0),0)</f>
        <v>1</v>
      </c>
      <c r="CA30" s="100">
        <f>IF(AND($B7="ﾙｽﾂA.宿泊ﾊﾟｯｸ",D29&lt;&gt;""),$J7,0)</f>
        <v>0</v>
      </c>
      <c r="CB30" s="101">
        <f>IF(AND($B8="ﾙｽﾂB.宿泊券",D29&lt;&gt;""),$J8,0)</f>
        <v>0</v>
      </c>
      <c r="CC30" s="101">
        <f>IF(AND($B9="ﾙｽﾂC.割引券",D29&lt;&gt;""),$J9,0)</f>
        <v>0</v>
      </c>
      <c r="CD30" s="102">
        <f>IF(AND($B10="ﾙｽﾂD.ﾎﾟｲﾝﾄ券",D29&lt;&gt;""),$J10,0)</f>
        <v>0</v>
      </c>
      <c r="CE30" s="103">
        <f>IF(AND($B6="ｽｶｲﾊﾟｰｸﾎﾃﾙ",D29&lt;&gt;""),$J6,0)</f>
        <v>0</v>
      </c>
      <c r="CF30" s="101">
        <f>IF(AND($B6="穂高ﾋﾞｭｰﾎﾃﾙ",D29&lt;&gt;""),$J6,0)</f>
        <v>0</v>
      </c>
      <c r="CG30" s="104">
        <f>IF(AND($B6="由布院倶楽部",D29&lt;&gt;""),$J6,0)</f>
        <v>0</v>
      </c>
      <c r="CH30" s="105">
        <f>SUM(BP$25*BP30,BQ$25*BQ30,BR$25*BR30,BS$25*BS30,BT$25*BT30,BU$25*BU30,BV$25*BV30,BW$25*BW30,BX$25*BX30,BY$25*BY30,BZ$25*BZ30,CA$25*CA30,CB$25*CB30,CC$25*CC30,CD$25*CD30,CE$25*CE30,CF$25*CF30,CG$25*CG30)</f>
        <v>750</v>
      </c>
      <c r="CI30" s="106">
        <f>IF(BP30&gt;0,TEXT(BP$25*BP30,"\#,##0"),"")</f>
      </c>
      <c r="CJ30" s="107">
        <f>IF(BQ30&gt;0,TEXT(BQ$25*BQ30,"\#,##0"),"")</f>
      </c>
      <c r="CK30" s="107">
        <f>IF(BR30&gt;0,TEXT(BR$25*BR30,"\#,##0"),"")</f>
      </c>
      <c r="CL30" s="107">
        <f>IF(BS30&gt;0,TEXT(BS$25*BS30,"\#,##0"),"")</f>
      </c>
      <c r="CM30" s="107">
        <f>IF(BT30&gt;0,TEXT(BT$25*BT30,"\#,##0"),"")</f>
      </c>
      <c r="CN30" s="107">
        <f>IF(BU30&gt;0,TEXT(BU$25*BU30,"+\#,##0"),"")</f>
      </c>
      <c r="CO30" s="107">
        <f>IF(BV30&gt;0,TEXT(BV$25*BV30,"+\#,##0"),"")</f>
      </c>
      <c r="CP30" s="108">
        <f>IF(BW30&gt;0,TEXT(BW$25*BW30,"+\#,##0"),"")</f>
      </c>
      <c r="CQ30" s="109" t="str">
        <f>IF(BX30&gt;0,TEXT(BX$25*BX30,"\#,##0"),"")</f>
        <v>¥600</v>
      </c>
      <c r="CR30" s="107">
        <f>IF(BY30&gt;0,TEXT(BY$25*BY30,"\#,##0"),"")</f>
      </c>
      <c r="CS30" s="108" t="str">
        <f>IF(BZ30&gt;0,TEXT(BZ$25*BZ30,"+\#,##0"),"")</f>
        <v>+¥150</v>
      </c>
      <c r="CT30" s="120"/>
      <c r="CU30" s="121"/>
      <c r="CV30" s="121"/>
      <c r="CW30" s="122"/>
      <c r="CX30" s="123"/>
      <c r="CY30" s="123"/>
      <c r="CZ30" s="124"/>
      <c r="DA30" s="112" t="str">
        <f>IF(CH30=0,"- ",CI30&amp;CJ30&amp;CK30&amp;CL30&amp;CM30&amp;CN30&amp;CO30&amp;CP30&amp;CQ30&amp;CR30&amp;CS30&amp;CT30&amp;CU30&amp;CV30&amp;CW30&amp;CX30&amp;CY30&amp;CZ30&amp;IF(BO30&gt;1,TEXT(CH30,"=\#,##0"),""))</f>
        <v>¥600+¥150=¥750</v>
      </c>
    </row>
    <row r="31" spans="1:105" ht="15.75" customHeight="1">
      <c r="A31" s="1"/>
      <c r="B31" s="204"/>
      <c r="C31" s="205"/>
      <c r="D31" s="217" t="s">
        <v>99</v>
      </c>
      <c r="E31" s="218"/>
      <c r="F31" s="218"/>
      <c r="G31" s="218"/>
      <c r="H31" s="218"/>
      <c r="I31" s="218"/>
      <c r="J31" s="218"/>
      <c r="K31" s="218"/>
      <c r="L31" s="218"/>
      <c r="M31" s="219"/>
      <c r="N31" s="223">
        <v>30</v>
      </c>
      <c r="O31" s="224"/>
      <c r="P31" s="225"/>
      <c r="Q31" s="366"/>
      <c r="R31" s="367"/>
      <c r="S31" s="367"/>
      <c r="T31" s="335" t="s">
        <v>60</v>
      </c>
      <c r="U31" s="336"/>
      <c r="V31" s="336"/>
      <c r="W31" s="336"/>
      <c r="X31" s="336"/>
      <c r="Y31" s="336"/>
      <c r="Z31" s="337"/>
      <c r="AA31" s="211" t="s">
        <v>0</v>
      </c>
      <c r="AB31" s="212"/>
      <c r="AC31" s="213"/>
      <c r="AD31" s="211" t="s">
        <v>0</v>
      </c>
      <c r="AE31" s="212"/>
      <c r="AF31" s="213"/>
      <c r="AG31" s="211"/>
      <c r="AH31" s="212"/>
      <c r="AI31" s="213"/>
      <c r="AJ31" s="211"/>
      <c r="AK31" s="212"/>
      <c r="AL31" s="213"/>
      <c r="AM31" s="211"/>
      <c r="AN31" s="212"/>
      <c r="AO31" s="213"/>
      <c r="AP31" s="211"/>
      <c r="AQ31" s="212"/>
      <c r="AR31" s="213"/>
      <c r="AS31" s="361" t="str">
        <f>IF(D31="","",DA31)</f>
        <v>リネン料+入湯税＝合計</v>
      </c>
      <c r="AT31" s="197"/>
      <c r="AU31" s="197"/>
      <c r="AV31" s="197"/>
      <c r="AW31" s="197"/>
      <c r="AX31" s="197"/>
      <c r="AY31" s="197"/>
      <c r="AZ31" s="197"/>
      <c r="BA31" s="197"/>
      <c r="BB31" s="197"/>
      <c r="BC31" s="197"/>
      <c r="BD31" s="197"/>
      <c r="BE31" s="197"/>
      <c r="BF31" s="197"/>
      <c r="BG31" s="197"/>
      <c r="BH31" s="197"/>
      <c r="BI31" s="197"/>
      <c r="BJ31" s="197"/>
      <c r="BK31" s="197"/>
      <c r="BL31" s="198"/>
      <c r="BM31" s="10">
        <f>IF(N31="",0,IF(OR(N31=0,N31=1,N31=2,N31=3,N31=4,N31=5),1,0))</f>
        <v>0</v>
      </c>
      <c r="BN31" s="86"/>
      <c r="BP31" s="87"/>
      <c r="BQ31" s="88"/>
      <c r="BR31" s="88"/>
      <c r="BS31" s="88"/>
      <c r="BT31" s="88"/>
      <c r="BU31" s="88"/>
      <c r="BV31" s="88"/>
      <c r="BW31" s="89"/>
      <c r="BX31" s="87"/>
      <c r="BY31" s="88"/>
      <c r="BZ31" s="89"/>
      <c r="CA31" s="87"/>
      <c r="CB31" s="88"/>
      <c r="CC31" s="88"/>
      <c r="CD31" s="89"/>
      <c r="CE31" s="90"/>
      <c r="CF31" s="88"/>
      <c r="CG31" s="91"/>
      <c r="CH31" s="113"/>
      <c r="CI31" s="93">
        <f aca="true" t="shared" si="2" ref="CI31:CS31">IF(BP32&gt;0,BP$24,"")</f>
      </c>
      <c r="CJ31" s="94">
        <f t="shared" si="2"/>
      </c>
      <c r="CK31" s="94">
        <f t="shared" si="2"/>
      </c>
      <c r="CL31" s="94">
        <f t="shared" si="2"/>
      </c>
      <c r="CM31" s="94">
        <f t="shared" si="2"/>
      </c>
      <c r="CN31" s="94">
        <f t="shared" si="2"/>
      </c>
      <c r="CO31" s="94">
        <f t="shared" si="2"/>
      </c>
      <c r="CP31" s="95">
        <f t="shared" si="2"/>
      </c>
      <c r="CQ31" s="96" t="str">
        <f t="shared" si="2"/>
        <v>リネン料</v>
      </c>
      <c r="CR31" s="94">
        <f t="shared" si="2"/>
      </c>
      <c r="CS31" s="95" t="str">
        <f t="shared" si="2"/>
        <v>+入湯税</v>
      </c>
      <c r="CT31" s="114"/>
      <c r="CU31" s="115"/>
      <c r="CV31" s="115"/>
      <c r="CW31" s="116"/>
      <c r="CX31" s="117"/>
      <c r="CY31" s="117"/>
      <c r="CZ31" s="118"/>
      <c r="DA31" s="119" t="str">
        <f>CI31&amp;CJ31&amp;CK31&amp;CL31&amp;CM31&amp;CN31&amp;CO31&amp;CP31&amp;CQ31&amp;CR31&amp;CS31&amp;CT31&amp;CU31&amp;CV31&amp;CW31&amp;CX31&amp;CY31&amp;CZ31&amp;IF(AND(CH32&gt;0,BO32&gt;1),"＝合計","")</f>
        <v>リネン料+入湯税＝合計</v>
      </c>
    </row>
    <row r="32" spans="1:105" ht="15.75" customHeight="1">
      <c r="A32" s="1"/>
      <c r="B32" s="204"/>
      <c r="C32" s="205"/>
      <c r="D32" s="220"/>
      <c r="E32" s="221"/>
      <c r="F32" s="221"/>
      <c r="G32" s="221"/>
      <c r="H32" s="221"/>
      <c r="I32" s="221"/>
      <c r="J32" s="221"/>
      <c r="K32" s="221"/>
      <c r="L32" s="221"/>
      <c r="M32" s="222"/>
      <c r="N32" s="223"/>
      <c r="O32" s="224"/>
      <c r="P32" s="225"/>
      <c r="Q32" s="368"/>
      <c r="R32" s="369"/>
      <c r="S32" s="369"/>
      <c r="T32" s="338"/>
      <c r="U32" s="339"/>
      <c r="V32" s="339"/>
      <c r="W32" s="339"/>
      <c r="X32" s="339"/>
      <c r="Y32" s="339"/>
      <c r="Z32" s="340"/>
      <c r="AA32" s="214"/>
      <c r="AB32" s="215"/>
      <c r="AC32" s="216"/>
      <c r="AD32" s="214"/>
      <c r="AE32" s="215"/>
      <c r="AF32" s="216"/>
      <c r="AG32" s="214"/>
      <c r="AH32" s="215"/>
      <c r="AI32" s="216"/>
      <c r="AJ32" s="214"/>
      <c r="AK32" s="215"/>
      <c r="AL32" s="216"/>
      <c r="AM32" s="214"/>
      <c r="AN32" s="215"/>
      <c r="AO32" s="216"/>
      <c r="AP32" s="214"/>
      <c r="AQ32" s="215"/>
      <c r="AR32" s="216"/>
      <c r="AS32" s="235" t="str">
        <f>IF(D31="","",DA32)</f>
        <v>¥600+¥150=¥750</v>
      </c>
      <c r="AT32" s="236"/>
      <c r="AU32" s="236"/>
      <c r="AV32" s="236"/>
      <c r="AW32" s="236"/>
      <c r="AX32" s="236"/>
      <c r="AY32" s="236"/>
      <c r="AZ32" s="236"/>
      <c r="BA32" s="236"/>
      <c r="BB32" s="236"/>
      <c r="BC32" s="236"/>
      <c r="BD32" s="236"/>
      <c r="BE32" s="236"/>
      <c r="BF32" s="236"/>
      <c r="BG32" s="236"/>
      <c r="BH32" s="236"/>
      <c r="BI32" s="236"/>
      <c r="BJ32" s="236"/>
      <c r="BK32" s="236"/>
      <c r="BL32" s="237"/>
      <c r="BM32" s="10"/>
      <c r="BN32" s="86"/>
      <c r="BO32" s="6">
        <f>COUNTIF(BP32:CG32,"&gt;0")</f>
        <v>2</v>
      </c>
      <c r="BP32" s="100">
        <f>IF(AND($B$4="志賀山荘",D31&lt;&gt;""),IF($BM31=1,0,IF(OR($T31="本人",$T31="配偶者",$T31="子",$T31="父母",$T31="義父母",$T31="同居の親族"),$P$18,0)),0)</f>
        <v>0</v>
      </c>
      <c r="BQ32" s="101">
        <f>IF(AND($B$4="志賀山荘",D31&lt;&gt;""),IF($BM31=1,0,IF($T31="その他",$P$18,0)),0)</f>
        <v>0</v>
      </c>
      <c r="BR32" s="101">
        <f>IF(AND($B$4="志賀山荘",D31&lt;&gt;""),IF(AND(OR($T31="本人",$T31="配偶者",$T31="子",$T31="父母",$T31="義父母",$T31="同居の親族"),$BM31=1,$Q31="有"),$P$18,0),0)</f>
        <v>0</v>
      </c>
      <c r="BS32" s="101">
        <f>IF(AND($B$4="志賀山荘",D31&lt;&gt;""),IF(AND($T31="その他",$BM31=1,$Q31="有"),$P$18,0),0)</f>
        <v>0</v>
      </c>
      <c r="BT32" s="101">
        <f>IF(AND($B$4="志賀山荘",D31&lt;&gt;""),IF($BM31=0,0,IF($Q31="無",$P$18,0)),0)</f>
        <v>0</v>
      </c>
      <c r="BU32" s="101">
        <f>IF(AND($B$4="志賀山荘",D31&lt;&gt;""),IF(OR($BM$18&gt;10,$BM$18&lt;4),IF($BT32=0,IF(SUM(BP32:BS32)&gt;0,$P$18,0),0),0),0)</f>
        <v>0</v>
      </c>
      <c r="BV32" s="101">
        <f>IF(AND($B$4="志賀山荘",D31&lt;&gt;""),COUNTIF($AA31,"○")+COUNTIF($AG31,"○")+COUNTIF($AM31,"○"),0)</f>
        <v>0</v>
      </c>
      <c r="BW32" s="102">
        <f>IF(AND($B$4="志賀山荘",D31&lt;&gt;""),COUNTIF($AD31,"○")+COUNTIF($AJ31,"○")+COUNTIF($AP31,"○"),0)</f>
        <v>0</v>
      </c>
      <c r="BX32" s="100">
        <f>IF(AND($B$4="勝浦ﾎﾃﾙ三日月",D31&lt;&gt;""),IF(AND(COUNTA($T31)=1,$BM31=1),IF(Q31="無",0,$P$18),$P$18),0)</f>
        <v>1</v>
      </c>
      <c r="BY32" s="101">
        <f>IF(AND($B$4="勝浦ﾎﾃﾙ三日月",D31&lt;&gt;""),IF(AND(COUNTA($T31)=1,$BM31=1,Q31="無"),$P$18,0),0)</f>
        <v>0</v>
      </c>
      <c r="BZ32" s="102">
        <f>IF(AND($B$4="勝浦ﾎﾃﾙ三日月",D31&lt;&gt;""),IF(AND(COUNTA($T31)=1,$N31&gt;11),$P$18,0),0)</f>
        <v>1</v>
      </c>
      <c r="CA32" s="100">
        <f>IF(AND($B9="ﾙｽﾂA.宿泊ﾊﾟｯｸ",D31&lt;&gt;""),$J9,0)</f>
        <v>0</v>
      </c>
      <c r="CB32" s="101">
        <f>IF(AND($B10="ﾙｽﾂB.宿泊券",D31&lt;&gt;""),$J10,0)</f>
        <v>0</v>
      </c>
      <c r="CC32" s="101">
        <f>IF(AND($B11="ﾙｽﾂC.割引券",D31&lt;&gt;""),$J11,0)</f>
        <v>0</v>
      </c>
      <c r="CD32" s="102">
        <f>IF(AND($B12="ﾙｽﾂD.ﾎﾟｲﾝﾄ券",D31&lt;&gt;""),$J12,0)</f>
        <v>0</v>
      </c>
      <c r="CE32" s="103">
        <f>IF(AND($B8="ｽｶｲﾊﾟｰｸﾎﾃﾙ",D31&lt;&gt;""),$J8,0)</f>
        <v>0</v>
      </c>
      <c r="CF32" s="101">
        <f>IF(AND($B8="穂高ﾋﾞｭｰﾎﾃﾙ",D31&lt;&gt;""),$J8,0)</f>
        <v>0</v>
      </c>
      <c r="CG32" s="104">
        <f>IF(AND($B8="由布院倶楽部",D31&lt;&gt;""),$J8,0)</f>
        <v>0</v>
      </c>
      <c r="CH32" s="105">
        <f>SUM(BP$25*BP32,BQ$25*BQ32,BR$25*BR32,BS$25*BS32,BT$25*BT32,BU$25*BU32,BV$25*BV32,BW$25*BW32,BX$25*BX32,BY$25*BY32,BZ$25*BZ32,CA$25*CA32,CB$25*CB32,CC$25*CC32,CD$25*CD32,CE$25*CE32,CF$25*CF32,CG$25*CG32)</f>
        <v>750</v>
      </c>
      <c r="CI32" s="106">
        <f>IF(BP32&gt;0,TEXT(BP$25*BP32,"\#,##0"),"")</f>
      </c>
      <c r="CJ32" s="107">
        <f>IF(BQ32&gt;0,TEXT(BQ$25*BQ32,"\#,##0"),"")</f>
      </c>
      <c r="CK32" s="107">
        <f>IF(BR32&gt;0,TEXT(BR$25*BR32,"\#,##0"),"")</f>
      </c>
      <c r="CL32" s="107">
        <f>IF(BS32&gt;0,TEXT(BS$25*BS32,"\#,##0"),"")</f>
      </c>
      <c r="CM32" s="107">
        <f>IF(BT32&gt;0,TEXT(BT$25*BT32,"\#,##0"),"")</f>
      </c>
      <c r="CN32" s="107">
        <f>IF(BU32&gt;0,TEXT(BU$25*BU32,"+\#,##0"),"")</f>
      </c>
      <c r="CO32" s="107">
        <f>IF(BV32&gt;0,TEXT(BV$25*BV32,"+\#,##0"),"")</f>
      </c>
      <c r="CP32" s="108">
        <f>IF(BW32&gt;0,TEXT(BW$25*BW32,"+\#,##0"),"")</f>
      </c>
      <c r="CQ32" s="109" t="str">
        <f>IF(BX32&gt;0,TEXT(BX$25*BX32,"\#,##0"),"")</f>
        <v>¥600</v>
      </c>
      <c r="CR32" s="107">
        <f>IF(BY32&gt;0,TEXT(BY$25*BY32,"\#,##0"),"")</f>
      </c>
      <c r="CS32" s="108" t="str">
        <f>IF(BZ32&gt;0,TEXT(BZ$25*BZ32,"+\#,##0"),"")</f>
        <v>+¥150</v>
      </c>
      <c r="CT32" s="120"/>
      <c r="CU32" s="121"/>
      <c r="CV32" s="121"/>
      <c r="CW32" s="122"/>
      <c r="CX32" s="123"/>
      <c r="CY32" s="123"/>
      <c r="CZ32" s="124"/>
      <c r="DA32" s="112" t="str">
        <f>IF(CH32=0,"- ",CI32&amp;CJ32&amp;CK32&amp;CL32&amp;CM32&amp;CN32&amp;CO32&amp;CP32&amp;CQ32&amp;CR32&amp;CS32&amp;CT32&amp;CU32&amp;CV32&amp;CW32&amp;CX32&amp;CY32&amp;CZ32&amp;IF(BO32&gt;1,TEXT(CH32,"=\#,##0"),""))</f>
        <v>¥600+¥150=¥750</v>
      </c>
    </row>
    <row r="33" spans="1:105" ht="15.75" customHeight="1">
      <c r="A33" s="1"/>
      <c r="B33" s="204"/>
      <c r="C33" s="205"/>
      <c r="D33" s="217" t="s">
        <v>71</v>
      </c>
      <c r="E33" s="218"/>
      <c r="F33" s="218"/>
      <c r="G33" s="218"/>
      <c r="H33" s="218"/>
      <c r="I33" s="218"/>
      <c r="J33" s="218"/>
      <c r="K33" s="218"/>
      <c r="L33" s="218"/>
      <c r="M33" s="219"/>
      <c r="N33" s="223">
        <v>28</v>
      </c>
      <c r="O33" s="224"/>
      <c r="P33" s="225"/>
      <c r="Q33" s="366"/>
      <c r="R33" s="367"/>
      <c r="S33" s="367"/>
      <c r="T33" s="335" t="s">
        <v>60</v>
      </c>
      <c r="U33" s="336"/>
      <c r="V33" s="336"/>
      <c r="W33" s="336"/>
      <c r="X33" s="336"/>
      <c r="Y33" s="336"/>
      <c r="Z33" s="337"/>
      <c r="AA33" s="211" t="s">
        <v>0</v>
      </c>
      <c r="AB33" s="212"/>
      <c r="AC33" s="213"/>
      <c r="AD33" s="211" t="s">
        <v>0</v>
      </c>
      <c r="AE33" s="212"/>
      <c r="AF33" s="213"/>
      <c r="AG33" s="211"/>
      <c r="AH33" s="212"/>
      <c r="AI33" s="213"/>
      <c r="AJ33" s="211"/>
      <c r="AK33" s="212"/>
      <c r="AL33" s="213"/>
      <c r="AM33" s="211"/>
      <c r="AN33" s="212"/>
      <c r="AO33" s="213"/>
      <c r="AP33" s="211"/>
      <c r="AQ33" s="212"/>
      <c r="AR33" s="213"/>
      <c r="AS33" s="361" t="str">
        <f>IF(D33="","",DA33)</f>
        <v>リネン料+入湯税＝合計</v>
      </c>
      <c r="AT33" s="197"/>
      <c r="AU33" s="197"/>
      <c r="AV33" s="197"/>
      <c r="AW33" s="197"/>
      <c r="AX33" s="197"/>
      <c r="AY33" s="197"/>
      <c r="AZ33" s="197"/>
      <c r="BA33" s="197"/>
      <c r="BB33" s="197"/>
      <c r="BC33" s="197"/>
      <c r="BD33" s="197"/>
      <c r="BE33" s="197"/>
      <c r="BF33" s="197"/>
      <c r="BG33" s="197"/>
      <c r="BH33" s="197"/>
      <c r="BI33" s="197"/>
      <c r="BJ33" s="197"/>
      <c r="BK33" s="197"/>
      <c r="BL33" s="198"/>
      <c r="BM33" s="10">
        <f>IF(N33="",0,IF(OR(N33=0,N33=1,N33=2,N33=3,N33=4,N33=5),1,0))</f>
        <v>0</v>
      </c>
      <c r="BN33" s="86"/>
      <c r="BP33" s="87"/>
      <c r="BQ33" s="88"/>
      <c r="BR33" s="88"/>
      <c r="BS33" s="88"/>
      <c r="BT33" s="88"/>
      <c r="BU33" s="88"/>
      <c r="BV33" s="88"/>
      <c r="BW33" s="89"/>
      <c r="BX33" s="87"/>
      <c r="BY33" s="88"/>
      <c r="BZ33" s="89"/>
      <c r="CA33" s="87"/>
      <c r="CB33" s="88"/>
      <c r="CC33" s="88"/>
      <c r="CD33" s="89"/>
      <c r="CE33" s="90"/>
      <c r="CF33" s="88"/>
      <c r="CG33" s="91"/>
      <c r="CH33" s="113"/>
      <c r="CI33" s="93">
        <f aca="true" t="shared" si="3" ref="CI33:CS33">IF(BP34&gt;0,BP$24,"")</f>
      </c>
      <c r="CJ33" s="94">
        <f t="shared" si="3"/>
      </c>
      <c r="CK33" s="94">
        <f t="shared" si="3"/>
      </c>
      <c r="CL33" s="94">
        <f t="shared" si="3"/>
      </c>
      <c r="CM33" s="94">
        <f t="shared" si="3"/>
      </c>
      <c r="CN33" s="94">
        <f t="shared" si="3"/>
      </c>
      <c r="CO33" s="94">
        <f t="shared" si="3"/>
      </c>
      <c r="CP33" s="95">
        <f t="shared" si="3"/>
      </c>
      <c r="CQ33" s="96" t="str">
        <f t="shared" si="3"/>
        <v>リネン料</v>
      </c>
      <c r="CR33" s="94">
        <f t="shared" si="3"/>
      </c>
      <c r="CS33" s="95" t="str">
        <f t="shared" si="3"/>
        <v>+入湯税</v>
      </c>
      <c r="CT33" s="114"/>
      <c r="CU33" s="115"/>
      <c r="CV33" s="115"/>
      <c r="CW33" s="116"/>
      <c r="CX33" s="117"/>
      <c r="CY33" s="117"/>
      <c r="CZ33" s="118"/>
      <c r="DA33" s="119" t="str">
        <f>CI33&amp;CJ33&amp;CK33&amp;CL33&amp;CM33&amp;CN33&amp;CO33&amp;CP33&amp;CQ33&amp;CR33&amp;CS33&amp;CT33&amp;CU33&amp;CV33&amp;CW33&amp;CX33&amp;CY33&amp;CZ33&amp;IF(AND(CH34&gt;0,BO34&gt;1),"＝合計","")</f>
        <v>リネン料+入湯税＝合計</v>
      </c>
    </row>
    <row r="34" spans="1:105" ht="15.75" customHeight="1">
      <c r="A34" s="1"/>
      <c r="B34" s="204"/>
      <c r="C34" s="205"/>
      <c r="D34" s="220"/>
      <c r="E34" s="221"/>
      <c r="F34" s="221"/>
      <c r="G34" s="221"/>
      <c r="H34" s="221"/>
      <c r="I34" s="221"/>
      <c r="J34" s="221"/>
      <c r="K34" s="221"/>
      <c r="L34" s="221"/>
      <c r="M34" s="222"/>
      <c r="N34" s="223"/>
      <c r="O34" s="224"/>
      <c r="P34" s="225"/>
      <c r="Q34" s="368"/>
      <c r="R34" s="369"/>
      <c r="S34" s="369"/>
      <c r="T34" s="338"/>
      <c r="U34" s="339"/>
      <c r="V34" s="339"/>
      <c r="W34" s="339"/>
      <c r="X34" s="339"/>
      <c r="Y34" s="339"/>
      <c r="Z34" s="340"/>
      <c r="AA34" s="214"/>
      <c r="AB34" s="215"/>
      <c r="AC34" s="216"/>
      <c r="AD34" s="214"/>
      <c r="AE34" s="215"/>
      <c r="AF34" s="216"/>
      <c r="AG34" s="214"/>
      <c r="AH34" s="215"/>
      <c r="AI34" s="216"/>
      <c r="AJ34" s="214"/>
      <c r="AK34" s="215"/>
      <c r="AL34" s="216"/>
      <c r="AM34" s="214"/>
      <c r="AN34" s="215"/>
      <c r="AO34" s="216"/>
      <c r="AP34" s="214"/>
      <c r="AQ34" s="215"/>
      <c r="AR34" s="216"/>
      <c r="AS34" s="235" t="str">
        <f>IF(D33="","",DA34)</f>
        <v>¥600+¥150=¥750</v>
      </c>
      <c r="AT34" s="236"/>
      <c r="AU34" s="236"/>
      <c r="AV34" s="236"/>
      <c r="AW34" s="236"/>
      <c r="AX34" s="236"/>
      <c r="AY34" s="236"/>
      <c r="AZ34" s="236"/>
      <c r="BA34" s="236"/>
      <c r="BB34" s="236"/>
      <c r="BC34" s="236"/>
      <c r="BD34" s="236"/>
      <c r="BE34" s="236"/>
      <c r="BF34" s="236"/>
      <c r="BG34" s="236"/>
      <c r="BH34" s="236"/>
      <c r="BI34" s="236"/>
      <c r="BJ34" s="236"/>
      <c r="BK34" s="236"/>
      <c r="BL34" s="237"/>
      <c r="BM34" s="10"/>
      <c r="BN34" s="86"/>
      <c r="BO34" s="6">
        <f>COUNTIF(BP34:CG34,"&gt;0")</f>
        <v>2</v>
      </c>
      <c r="BP34" s="100">
        <f>IF(AND($B$4="志賀山荘",D33&lt;&gt;""),IF($BM33=1,0,IF(OR($T33="本人",$T33="配偶者",$T33="子",$T33="父母",$T33="義父母",$T33="同居の親族"),$P$18,0)),0)</f>
        <v>0</v>
      </c>
      <c r="BQ34" s="101">
        <f>IF(AND($B$4="志賀山荘",D33&lt;&gt;""),IF($BM33=1,0,IF($T33="その他",$P$18,0)),0)</f>
        <v>0</v>
      </c>
      <c r="BR34" s="101">
        <f>IF(AND($B$4="志賀山荘",D33&lt;&gt;""),IF(AND(OR($T33="本人",$T33="配偶者",$T33="子",$T33="父母",$T33="義父母",$T33="同居の親族"),$BM33=1,$Q33="有"),$P$18,0),0)</f>
        <v>0</v>
      </c>
      <c r="BS34" s="101">
        <f>IF(AND($B$4="志賀山荘",D33&lt;&gt;""),IF(AND($T33="その他",$BM33=1,$Q33="有"),$P$18,0),0)</f>
        <v>0</v>
      </c>
      <c r="BT34" s="101">
        <f>IF(AND($B$4="志賀山荘",D33&lt;&gt;""),IF($BM33=0,0,IF($Q33="無",$P$18,0)),0)</f>
        <v>0</v>
      </c>
      <c r="BU34" s="101">
        <f>IF(AND($B$4="志賀山荘",D33&lt;&gt;""),IF(OR($BM$18&gt;10,$BM$18&lt;4),IF($BT34=0,IF(SUM(BP34:BS34)&gt;0,$P$18,0),0),0),0)</f>
        <v>0</v>
      </c>
      <c r="BV34" s="101">
        <f>IF(AND($B$4="志賀山荘",D33&lt;&gt;""),COUNTIF($AA33,"○")+COUNTIF($AG33,"○")+COUNTIF($AM33,"○"),0)</f>
        <v>0</v>
      </c>
      <c r="BW34" s="102">
        <f>IF(AND($B$4="志賀山荘",D33&lt;&gt;""),COUNTIF($AD33,"○")+COUNTIF($AJ33,"○")+COUNTIF($AP33,"○"),0)</f>
        <v>0</v>
      </c>
      <c r="BX34" s="100">
        <f>IF(AND($B$4="勝浦ﾎﾃﾙ三日月",D33&lt;&gt;""),IF(AND(COUNTA($T33)=1,$BM33=1),IF(Q33="無",0,$P$18),$P$18),0)</f>
        <v>1</v>
      </c>
      <c r="BY34" s="101">
        <f>IF(AND($B$4="勝浦ﾎﾃﾙ三日月",D33&lt;&gt;""),IF(AND(COUNTA($T33)=1,$BM33=1,Q33="無"),$P$18,0),0)</f>
        <v>0</v>
      </c>
      <c r="BZ34" s="102">
        <f>IF(AND($B$4="勝浦ﾎﾃﾙ三日月",D33&lt;&gt;""),IF(AND(COUNTA($T33)=1,$N33&gt;11),$P$18,0),0)</f>
        <v>1</v>
      </c>
      <c r="CA34" s="100">
        <f>IF(AND($B11="ﾙｽﾂA.宿泊ﾊﾟｯｸ",D33&lt;&gt;""),$J11,0)</f>
        <v>0</v>
      </c>
      <c r="CB34" s="101">
        <f>IF(AND($B12="ﾙｽﾂB.宿泊券",D33&lt;&gt;""),$J12,0)</f>
        <v>0</v>
      </c>
      <c r="CC34" s="101">
        <f>IF(AND($B13="ﾙｽﾂC.割引券",D33&lt;&gt;""),$J13,0)</f>
        <v>0</v>
      </c>
      <c r="CD34" s="102">
        <f>IF(AND($B14="ﾙｽﾂD.ﾎﾟｲﾝﾄ券",D33&lt;&gt;""),$J14,0)</f>
        <v>0</v>
      </c>
      <c r="CE34" s="103">
        <f>IF(AND($B10="ｽｶｲﾊﾟｰｸﾎﾃﾙ",D33&lt;&gt;""),$J10,0)</f>
        <v>0</v>
      </c>
      <c r="CF34" s="101">
        <f>IF(AND($B10="穂高ﾋﾞｭｰﾎﾃﾙ",D33&lt;&gt;""),$J10,0)</f>
        <v>0</v>
      </c>
      <c r="CG34" s="104">
        <f>IF(AND($B10="由布院倶楽部",D33&lt;&gt;""),$J10,0)</f>
        <v>0</v>
      </c>
      <c r="CH34" s="105">
        <f>SUM(BP$25*BP34,BQ$25*BQ34,BR$25*BR34,BS$25*BS34,BT$25*BT34,BU$25*BU34,BV$25*BV34,BW$25*BW34,BX$25*BX34,BY$25*BY34,BZ$25*BZ34,CA$25*CA34,CB$25*CB34,CC$25*CC34,CD$25*CD34,CE$25*CE34,CF$25*CF34,CG$25*CG34)</f>
        <v>750</v>
      </c>
      <c r="CI34" s="106">
        <f>IF(BP34&gt;0,TEXT(BP$25*BP34,"\#,##0"),"")</f>
      </c>
      <c r="CJ34" s="107">
        <f>IF(BQ34&gt;0,TEXT(BQ$25*BQ34,"\#,##0"),"")</f>
      </c>
      <c r="CK34" s="107">
        <f>IF(BR34&gt;0,TEXT(BR$25*BR34,"\#,##0"),"")</f>
      </c>
      <c r="CL34" s="107">
        <f>IF(BS34&gt;0,TEXT(BS$25*BS34,"\#,##0"),"")</f>
      </c>
      <c r="CM34" s="107">
        <f>IF(BT34&gt;0,TEXT(BT$25*BT34,"\#,##0"),"")</f>
      </c>
      <c r="CN34" s="107">
        <f>IF(BU34&gt;0,TEXT(BU$25*BU34,"+\#,##0"),"")</f>
      </c>
      <c r="CO34" s="107">
        <f>IF(BV34&gt;0,TEXT(BV$25*BV34,"+\#,##0"),"")</f>
      </c>
      <c r="CP34" s="108">
        <f>IF(BW34&gt;0,TEXT(BW$25*BW34,"+\#,##0"),"")</f>
      </c>
      <c r="CQ34" s="109" t="str">
        <f>IF(BX34&gt;0,TEXT(BX$25*BX34,"\#,##0"),"")</f>
        <v>¥600</v>
      </c>
      <c r="CR34" s="107">
        <f>IF(BY34&gt;0,TEXT(BY$25*BY34,"\#,##0"),"")</f>
      </c>
      <c r="CS34" s="108" t="str">
        <f>IF(BZ34&gt;0,TEXT(BZ$25*BZ34,"+\#,##0"),"")</f>
        <v>+¥150</v>
      </c>
      <c r="CT34" s="120"/>
      <c r="CU34" s="121"/>
      <c r="CV34" s="121"/>
      <c r="CW34" s="122"/>
      <c r="CX34" s="123"/>
      <c r="CY34" s="123"/>
      <c r="CZ34" s="124"/>
      <c r="DA34" s="112" t="str">
        <f>IF(CH34=0,"- ",CI34&amp;CJ34&amp;CK34&amp;CL34&amp;CM34&amp;CN34&amp;CO34&amp;CP34&amp;CQ34&amp;CR34&amp;CS34&amp;CT34&amp;CU34&amp;CV34&amp;CW34&amp;CX34&amp;CY34&amp;CZ34&amp;IF(BO34&gt;1,TEXT(CH34,"=\#,##0"),""))</f>
        <v>¥600+¥150=¥750</v>
      </c>
    </row>
    <row r="35" spans="1:105" ht="15.75" customHeight="1">
      <c r="A35" s="1"/>
      <c r="B35" s="204"/>
      <c r="C35" s="205"/>
      <c r="D35" s="217" t="s">
        <v>105</v>
      </c>
      <c r="E35" s="218"/>
      <c r="F35" s="218"/>
      <c r="G35" s="218"/>
      <c r="H35" s="218"/>
      <c r="I35" s="218"/>
      <c r="J35" s="218"/>
      <c r="K35" s="218"/>
      <c r="L35" s="218"/>
      <c r="M35" s="219"/>
      <c r="N35" s="223">
        <v>5</v>
      </c>
      <c r="O35" s="224"/>
      <c r="P35" s="225"/>
      <c r="Q35" s="331" t="s">
        <v>62</v>
      </c>
      <c r="R35" s="332"/>
      <c r="S35" s="332"/>
      <c r="T35" s="335" t="s">
        <v>98</v>
      </c>
      <c r="U35" s="336"/>
      <c r="V35" s="336"/>
      <c r="W35" s="336"/>
      <c r="X35" s="336"/>
      <c r="Y35" s="336"/>
      <c r="Z35" s="337"/>
      <c r="AA35" s="211" t="s">
        <v>0</v>
      </c>
      <c r="AB35" s="212"/>
      <c r="AC35" s="213"/>
      <c r="AD35" s="211" t="s">
        <v>0</v>
      </c>
      <c r="AE35" s="212"/>
      <c r="AF35" s="213"/>
      <c r="AG35" s="211"/>
      <c r="AH35" s="212"/>
      <c r="AI35" s="213"/>
      <c r="AJ35" s="211"/>
      <c r="AK35" s="212"/>
      <c r="AL35" s="213"/>
      <c r="AM35" s="211"/>
      <c r="AN35" s="212"/>
      <c r="AO35" s="213"/>
      <c r="AP35" s="211"/>
      <c r="AQ35" s="212"/>
      <c r="AR35" s="213"/>
      <c r="AS35" s="361" t="str">
        <f>IF(D35="","",DA35)</f>
        <v>リネン料</v>
      </c>
      <c r="AT35" s="197"/>
      <c r="AU35" s="197"/>
      <c r="AV35" s="197"/>
      <c r="AW35" s="197"/>
      <c r="AX35" s="197"/>
      <c r="AY35" s="197"/>
      <c r="AZ35" s="197"/>
      <c r="BA35" s="197"/>
      <c r="BB35" s="197"/>
      <c r="BC35" s="197"/>
      <c r="BD35" s="197"/>
      <c r="BE35" s="197"/>
      <c r="BF35" s="197"/>
      <c r="BG35" s="197"/>
      <c r="BH35" s="197"/>
      <c r="BI35" s="197"/>
      <c r="BJ35" s="197"/>
      <c r="BK35" s="197"/>
      <c r="BL35" s="198"/>
      <c r="BM35" s="10">
        <f>IF(N35="",0,IF(OR(N35=0,N35=1,N35=2,N35=3,N35=4,N35=5),1,0))</f>
        <v>1</v>
      </c>
      <c r="BN35" s="86"/>
      <c r="BP35" s="87"/>
      <c r="BQ35" s="88"/>
      <c r="BR35" s="88"/>
      <c r="BS35" s="88"/>
      <c r="BT35" s="88"/>
      <c r="BU35" s="88"/>
      <c r="BV35" s="88"/>
      <c r="BW35" s="89"/>
      <c r="BX35" s="87"/>
      <c r="BY35" s="88"/>
      <c r="BZ35" s="89"/>
      <c r="CA35" s="87"/>
      <c r="CB35" s="88"/>
      <c r="CC35" s="88"/>
      <c r="CD35" s="89"/>
      <c r="CE35" s="90"/>
      <c r="CF35" s="88"/>
      <c r="CG35" s="91"/>
      <c r="CH35" s="113"/>
      <c r="CI35" s="93">
        <f aca="true" t="shared" si="4" ref="CI35:CS35">IF(BP36&gt;0,BP$24,"")</f>
      </c>
      <c r="CJ35" s="94">
        <f t="shared" si="4"/>
      </c>
      <c r="CK35" s="94">
        <f t="shared" si="4"/>
      </c>
      <c r="CL35" s="94">
        <f t="shared" si="4"/>
      </c>
      <c r="CM35" s="94">
        <f t="shared" si="4"/>
      </c>
      <c r="CN35" s="94">
        <f t="shared" si="4"/>
      </c>
      <c r="CO35" s="94">
        <f t="shared" si="4"/>
      </c>
      <c r="CP35" s="95">
        <f t="shared" si="4"/>
      </c>
      <c r="CQ35" s="96" t="str">
        <f t="shared" si="4"/>
        <v>リネン料</v>
      </c>
      <c r="CR35" s="94">
        <f t="shared" si="4"/>
      </c>
      <c r="CS35" s="95">
        <f t="shared" si="4"/>
      </c>
      <c r="CT35" s="114"/>
      <c r="CU35" s="115"/>
      <c r="CV35" s="115"/>
      <c r="CW35" s="116"/>
      <c r="CX35" s="117"/>
      <c r="CY35" s="117"/>
      <c r="CZ35" s="118"/>
      <c r="DA35" s="119" t="str">
        <f>CI35&amp;CJ35&amp;CK35&amp;CL35&amp;CM35&amp;CN35&amp;CO35&amp;CP35&amp;CQ35&amp;CR35&amp;CS35&amp;CT35&amp;CU35&amp;CV35&amp;CW35&amp;CX35&amp;CY35&amp;CZ35&amp;IF(AND(CH36&gt;0,BO36&gt;1),"＝合計","")</f>
        <v>リネン料</v>
      </c>
    </row>
    <row r="36" spans="1:105" ht="15.75" customHeight="1">
      <c r="A36" s="1"/>
      <c r="B36" s="204"/>
      <c r="C36" s="205"/>
      <c r="D36" s="220"/>
      <c r="E36" s="221"/>
      <c r="F36" s="221"/>
      <c r="G36" s="221"/>
      <c r="H36" s="221"/>
      <c r="I36" s="221"/>
      <c r="J36" s="221"/>
      <c r="K36" s="221"/>
      <c r="L36" s="221"/>
      <c r="M36" s="222"/>
      <c r="N36" s="223"/>
      <c r="O36" s="224"/>
      <c r="P36" s="225"/>
      <c r="Q36" s="333"/>
      <c r="R36" s="334"/>
      <c r="S36" s="334"/>
      <c r="T36" s="338"/>
      <c r="U36" s="339"/>
      <c r="V36" s="339"/>
      <c r="W36" s="339"/>
      <c r="X36" s="339"/>
      <c r="Y36" s="339"/>
      <c r="Z36" s="340"/>
      <c r="AA36" s="214"/>
      <c r="AB36" s="215"/>
      <c r="AC36" s="216"/>
      <c r="AD36" s="214"/>
      <c r="AE36" s="215"/>
      <c r="AF36" s="216"/>
      <c r="AG36" s="214"/>
      <c r="AH36" s="215"/>
      <c r="AI36" s="216"/>
      <c r="AJ36" s="214"/>
      <c r="AK36" s="215"/>
      <c r="AL36" s="216"/>
      <c r="AM36" s="214"/>
      <c r="AN36" s="215"/>
      <c r="AO36" s="216"/>
      <c r="AP36" s="214"/>
      <c r="AQ36" s="215"/>
      <c r="AR36" s="216"/>
      <c r="AS36" s="235" t="str">
        <f>IF(D35="","",DA36)</f>
        <v>¥600</v>
      </c>
      <c r="AT36" s="236"/>
      <c r="AU36" s="236"/>
      <c r="AV36" s="236"/>
      <c r="AW36" s="236"/>
      <c r="AX36" s="236"/>
      <c r="AY36" s="236"/>
      <c r="AZ36" s="236"/>
      <c r="BA36" s="236"/>
      <c r="BB36" s="236"/>
      <c r="BC36" s="236"/>
      <c r="BD36" s="236"/>
      <c r="BE36" s="236"/>
      <c r="BF36" s="236"/>
      <c r="BG36" s="236"/>
      <c r="BH36" s="236"/>
      <c r="BI36" s="236"/>
      <c r="BJ36" s="236"/>
      <c r="BK36" s="236"/>
      <c r="BL36" s="237"/>
      <c r="BM36" s="10"/>
      <c r="BN36" s="86"/>
      <c r="BO36" s="6">
        <f>COUNTIF(BP36:CG36,"&gt;0")</f>
        <v>1</v>
      </c>
      <c r="BP36" s="100">
        <f>IF(AND($B$4="志賀山荘",D35&lt;&gt;""),IF($BM35=1,0,IF(OR($T35="本人",$T35="配偶者",$T35="子",$T35="父母",$T35="義父母",$T35="同居の親族"),$P$18,0)),0)</f>
        <v>0</v>
      </c>
      <c r="BQ36" s="101">
        <f>IF(AND($B$4="志賀山荘",D35&lt;&gt;""),IF($BM35=1,0,IF($T35="その他",$P$18,0)),0)</f>
        <v>0</v>
      </c>
      <c r="BR36" s="101">
        <f>IF(AND($B$4="志賀山荘",D35&lt;&gt;""),IF(AND(OR($T35="本人",$T35="配偶者",$T35="子",$T35="父母",$T35="義父母",$T35="同居の親族"),$BM35=1,$Q35="有"),$P$18,0),0)</f>
        <v>0</v>
      </c>
      <c r="BS36" s="101">
        <f>IF(AND($B$4="志賀山荘",D35&lt;&gt;""),IF(AND($T35="その他",$BM35=1,$Q35="有"),$P$18,0),0)</f>
        <v>0</v>
      </c>
      <c r="BT36" s="101">
        <f>IF(AND($B$4="志賀山荘",D35&lt;&gt;""),IF($BM35=0,0,IF($Q35="無",$P$18,0)),0)</f>
        <v>0</v>
      </c>
      <c r="BU36" s="101">
        <f>IF(AND($B$4="志賀山荘",D35&lt;&gt;""),IF(OR($BM$18&gt;10,$BM$18&lt;4),IF($BT36=0,IF(SUM(BP36:BS36)&gt;0,$P$18,0),0),0),0)</f>
        <v>0</v>
      </c>
      <c r="BV36" s="101">
        <f>IF(AND($B$4="志賀山荘",D35&lt;&gt;""),COUNTIF($AA35,"○")+COUNTIF($AG35,"○")+COUNTIF($AM35,"○"),0)</f>
        <v>0</v>
      </c>
      <c r="BW36" s="102">
        <f>IF(AND($B$4="志賀山荘",D35&lt;&gt;""),COUNTIF($AD35,"○")+COUNTIF($AJ35,"○")+COUNTIF($AP35,"○"),0)</f>
        <v>0</v>
      </c>
      <c r="BX36" s="100">
        <f>IF(AND($B$4="勝浦ﾎﾃﾙ三日月",D35&lt;&gt;""),IF(AND(COUNTA($T35)=1,$BM35=1),IF(Q35="無",0,$P$18),$P$18),0)</f>
        <v>1</v>
      </c>
      <c r="BY36" s="101">
        <f>IF(AND($B$4="勝浦ﾎﾃﾙ三日月",D35&lt;&gt;""),IF(AND(COUNTA($T35)=1,$BM35=1,Q35="無"),$P$18,0),0)</f>
        <v>0</v>
      </c>
      <c r="BZ36" s="102">
        <f>IF(AND($B$4="勝浦ﾎﾃﾙ三日月",D35&lt;&gt;""),IF(AND(COUNTA($T35)=1,$N35&gt;11),$P$18,0),0)</f>
        <v>0</v>
      </c>
      <c r="CA36" s="100">
        <f>IF(AND($B13="ﾙｽﾂA.宿泊ﾊﾟｯｸ",D35&lt;&gt;""),$J13,0)</f>
        <v>0</v>
      </c>
      <c r="CB36" s="101">
        <f>IF(AND($B14="ﾙｽﾂB.宿泊券",D35&lt;&gt;""),$J14,0)</f>
        <v>0</v>
      </c>
      <c r="CC36" s="101">
        <f>IF(AND($B15="ﾙｽﾂC.割引券",D35&lt;&gt;""),$J15,0)</f>
        <v>0</v>
      </c>
      <c r="CD36" s="102">
        <f>IF(AND($B16="ﾙｽﾂD.ﾎﾟｲﾝﾄ券",D35&lt;&gt;""),$J16,0)</f>
        <v>0</v>
      </c>
      <c r="CE36" s="103">
        <f>IF(AND($B12="ｽｶｲﾊﾟｰｸﾎﾃﾙ",D35&lt;&gt;""),$J12,0)</f>
        <v>0</v>
      </c>
      <c r="CF36" s="101">
        <f>IF(AND($B12="穂高ﾋﾞｭｰﾎﾃﾙ",D35&lt;&gt;""),$J12,0)</f>
        <v>0</v>
      </c>
      <c r="CG36" s="104">
        <f>IF(AND($B12="由布院倶楽部",D35&lt;&gt;""),$J12,0)</f>
        <v>0</v>
      </c>
      <c r="CH36" s="105">
        <f>SUM(BP$25*BP36,BQ$25*BQ36,BR$25*BR36,BS$25*BS36,BT$25*BT36,BU$25*BU36,BV$25*BV36,BW$25*BW36,BX$25*BX36,BY$25*BY36,BZ$25*BZ36,CA$25*CA36,CB$25*CB36,CC$25*CC36,CD$25*CD36,CE$25*CE36,CF$25*CF36,CG$25*CG36)</f>
        <v>600</v>
      </c>
      <c r="CI36" s="106">
        <f>IF(BP36&gt;0,TEXT(BP$25*BP36,"\#,##0"),"")</f>
      </c>
      <c r="CJ36" s="107">
        <f>IF(BQ36&gt;0,TEXT(BQ$25*BQ36,"\#,##0"),"")</f>
      </c>
      <c r="CK36" s="107">
        <f>IF(BR36&gt;0,TEXT(BR$25*BR36,"\#,##0"),"")</f>
      </c>
      <c r="CL36" s="107">
        <f>IF(BS36&gt;0,TEXT(BS$25*BS36,"\#,##0"),"")</f>
      </c>
      <c r="CM36" s="107">
        <f>IF(BT36&gt;0,TEXT(BT$25*BT36,"\#,##0"),"")</f>
      </c>
      <c r="CN36" s="107">
        <f>IF(BU36&gt;0,TEXT(BU$25*BU36,"+\#,##0"),"")</f>
      </c>
      <c r="CO36" s="107">
        <f>IF(BV36&gt;0,TEXT(BV$25*BV36,"+\#,##0"),"")</f>
      </c>
      <c r="CP36" s="108">
        <f>IF(BW36&gt;0,TEXT(BW$25*BW36,"+\#,##0"),"")</f>
      </c>
      <c r="CQ36" s="109" t="str">
        <f>IF(BX36&gt;0,TEXT(BX$25*BX36,"\#,##0"),"")</f>
        <v>¥600</v>
      </c>
      <c r="CR36" s="107">
        <f>IF(BY36&gt;0,TEXT(BY$25*BY36,"\#,##0"),"")</f>
      </c>
      <c r="CS36" s="108">
        <f>IF(BZ36&gt;0,TEXT(BZ$25*BZ36,"+\#,##0"),"")</f>
      </c>
      <c r="CT36" s="120"/>
      <c r="CU36" s="121"/>
      <c r="CV36" s="121"/>
      <c r="CW36" s="122"/>
      <c r="CX36" s="123"/>
      <c r="CY36" s="123"/>
      <c r="CZ36" s="124"/>
      <c r="DA36" s="112" t="str">
        <f>IF(CH36=0,"- ",CI36&amp;CJ36&amp;CK36&amp;CL36&amp;CM36&amp;CN36&amp;CO36&amp;CP36&amp;CQ36&amp;CR36&amp;CS36&amp;CT36&amp;CU36&amp;CV36&amp;CW36&amp;CX36&amp;CY36&amp;CZ36&amp;IF(BO36&gt;1,TEXT(CH36,"=\#,##0"),""))</f>
        <v>¥600</v>
      </c>
    </row>
    <row r="37" spans="1:105" ht="15.75" customHeight="1">
      <c r="A37" s="1"/>
      <c r="B37" s="204"/>
      <c r="C37" s="205"/>
      <c r="D37" s="217" t="s">
        <v>106</v>
      </c>
      <c r="E37" s="218"/>
      <c r="F37" s="218"/>
      <c r="G37" s="218"/>
      <c r="H37" s="218"/>
      <c r="I37" s="218"/>
      <c r="J37" s="218"/>
      <c r="K37" s="218"/>
      <c r="L37" s="218"/>
      <c r="M37" s="219"/>
      <c r="N37" s="223">
        <v>3</v>
      </c>
      <c r="O37" s="224"/>
      <c r="P37" s="225"/>
      <c r="Q37" s="331" t="s">
        <v>55</v>
      </c>
      <c r="R37" s="332"/>
      <c r="S37" s="332"/>
      <c r="T37" s="335" t="s">
        <v>98</v>
      </c>
      <c r="U37" s="336"/>
      <c r="V37" s="336"/>
      <c r="W37" s="336"/>
      <c r="X37" s="336"/>
      <c r="Y37" s="336"/>
      <c r="Z37" s="337"/>
      <c r="AA37" s="211"/>
      <c r="AB37" s="212"/>
      <c r="AC37" s="213"/>
      <c r="AD37" s="211"/>
      <c r="AE37" s="212"/>
      <c r="AF37" s="213"/>
      <c r="AG37" s="211"/>
      <c r="AH37" s="212"/>
      <c r="AI37" s="213"/>
      <c r="AJ37" s="211"/>
      <c r="AK37" s="212"/>
      <c r="AL37" s="213"/>
      <c r="AM37" s="211"/>
      <c r="AN37" s="212"/>
      <c r="AO37" s="213"/>
      <c r="AP37" s="211"/>
      <c r="AQ37" s="212"/>
      <c r="AR37" s="213"/>
      <c r="AS37" s="361" t="str">
        <f>IF(D37="","",DA37)</f>
        <v>リネン料（寝具なし）</v>
      </c>
      <c r="AT37" s="197"/>
      <c r="AU37" s="197"/>
      <c r="AV37" s="197"/>
      <c r="AW37" s="197"/>
      <c r="AX37" s="197"/>
      <c r="AY37" s="197"/>
      <c r="AZ37" s="197"/>
      <c r="BA37" s="197"/>
      <c r="BB37" s="197"/>
      <c r="BC37" s="197"/>
      <c r="BD37" s="197"/>
      <c r="BE37" s="197"/>
      <c r="BF37" s="197"/>
      <c r="BG37" s="197"/>
      <c r="BH37" s="197"/>
      <c r="BI37" s="197"/>
      <c r="BJ37" s="197"/>
      <c r="BK37" s="197"/>
      <c r="BL37" s="198"/>
      <c r="BM37" s="10">
        <f>IF(N37="",0,IF(OR(N37=0,N37=1,N37=2,N37=3,N37=4,N37=5),1,0))</f>
        <v>1</v>
      </c>
      <c r="BN37" s="86"/>
      <c r="BP37" s="87"/>
      <c r="BQ37" s="88"/>
      <c r="BR37" s="88"/>
      <c r="BS37" s="88"/>
      <c r="BT37" s="88"/>
      <c r="BU37" s="88"/>
      <c r="BV37" s="88"/>
      <c r="BW37" s="89"/>
      <c r="BX37" s="87"/>
      <c r="BY37" s="88"/>
      <c r="BZ37" s="89"/>
      <c r="CA37" s="87"/>
      <c r="CB37" s="88"/>
      <c r="CC37" s="88"/>
      <c r="CD37" s="89"/>
      <c r="CE37" s="90"/>
      <c r="CF37" s="88"/>
      <c r="CG37" s="91"/>
      <c r="CH37" s="113"/>
      <c r="CI37" s="93">
        <f aca="true" t="shared" si="5" ref="CI37:CS37">IF(BP38&gt;0,BP$24,"")</f>
      </c>
      <c r="CJ37" s="94">
        <f t="shared" si="5"/>
      </c>
      <c r="CK37" s="94">
        <f t="shared" si="5"/>
      </c>
      <c r="CL37" s="94">
        <f t="shared" si="5"/>
      </c>
      <c r="CM37" s="94">
        <f t="shared" si="5"/>
      </c>
      <c r="CN37" s="94">
        <f t="shared" si="5"/>
      </c>
      <c r="CO37" s="94">
        <f t="shared" si="5"/>
      </c>
      <c r="CP37" s="95">
        <f t="shared" si="5"/>
      </c>
      <c r="CQ37" s="96">
        <f t="shared" si="5"/>
      </c>
      <c r="CR37" s="94" t="str">
        <f t="shared" si="5"/>
        <v>リネン料（寝具なし）</v>
      </c>
      <c r="CS37" s="95">
        <f t="shared" si="5"/>
      </c>
      <c r="CT37" s="114"/>
      <c r="CU37" s="115"/>
      <c r="CV37" s="115"/>
      <c r="CW37" s="116"/>
      <c r="CX37" s="117"/>
      <c r="CY37" s="117"/>
      <c r="CZ37" s="118"/>
      <c r="DA37" s="119" t="str">
        <f>CI37&amp;CJ37&amp;CK37&amp;CL37&amp;CM37&amp;CN37&amp;CO37&amp;CP37&amp;CQ37&amp;CR37&amp;CS37&amp;CT37&amp;CU37&amp;CV37&amp;CW37&amp;CX37&amp;CY37&amp;CZ37&amp;IF(AND(CH38&gt;0,BO38&gt;1),"＝合計","")</f>
        <v>リネン料（寝具なし）</v>
      </c>
    </row>
    <row r="38" spans="1:105" ht="15.75" customHeight="1">
      <c r="A38" s="1"/>
      <c r="B38" s="204"/>
      <c r="C38" s="205"/>
      <c r="D38" s="220"/>
      <c r="E38" s="221"/>
      <c r="F38" s="221"/>
      <c r="G38" s="221"/>
      <c r="H38" s="221"/>
      <c r="I38" s="221"/>
      <c r="J38" s="221"/>
      <c r="K38" s="221"/>
      <c r="L38" s="221"/>
      <c r="M38" s="222"/>
      <c r="N38" s="223"/>
      <c r="O38" s="224"/>
      <c r="P38" s="225"/>
      <c r="Q38" s="333"/>
      <c r="R38" s="334"/>
      <c r="S38" s="334"/>
      <c r="T38" s="338"/>
      <c r="U38" s="339"/>
      <c r="V38" s="339"/>
      <c r="W38" s="339"/>
      <c r="X38" s="339"/>
      <c r="Y38" s="339"/>
      <c r="Z38" s="340"/>
      <c r="AA38" s="214"/>
      <c r="AB38" s="215"/>
      <c r="AC38" s="216"/>
      <c r="AD38" s="214"/>
      <c r="AE38" s="215"/>
      <c r="AF38" s="216"/>
      <c r="AG38" s="214"/>
      <c r="AH38" s="215"/>
      <c r="AI38" s="216"/>
      <c r="AJ38" s="214"/>
      <c r="AK38" s="215"/>
      <c r="AL38" s="216"/>
      <c r="AM38" s="214"/>
      <c r="AN38" s="215"/>
      <c r="AO38" s="216"/>
      <c r="AP38" s="214"/>
      <c r="AQ38" s="215"/>
      <c r="AR38" s="216"/>
      <c r="AS38" s="235" t="str">
        <f>IF(D37="","",DA38)</f>
        <v>- </v>
      </c>
      <c r="AT38" s="236"/>
      <c r="AU38" s="236"/>
      <c r="AV38" s="236"/>
      <c r="AW38" s="236"/>
      <c r="AX38" s="236"/>
      <c r="AY38" s="236"/>
      <c r="AZ38" s="236"/>
      <c r="BA38" s="236"/>
      <c r="BB38" s="236"/>
      <c r="BC38" s="236"/>
      <c r="BD38" s="236"/>
      <c r="BE38" s="236"/>
      <c r="BF38" s="236"/>
      <c r="BG38" s="236"/>
      <c r="BH38" s="236"/>
      <c r="BI38" s="236"/>
      <c r="BJ38" s="236"/>
      <c r="BK38" s="236"/>
      <c r="BL38" s="237"/>
      <c r="BM38" s="10"/>
      <c r="BN38" s="86"/>
      <c r="BO38" s="6">
        <f>COUNTIF(BP38:CG38,"&gt;0")</f>
        <v>1</v>
      </c>
      <c r="BP38" s="100">
        <f>IF(AND($B$4="志賀山荘",D37&lt;&gt;""),IF($BM37=1,0,IF(OR($T37="本人",$T37="配偶者",$T37="子",$T37="父母",$T37="義父母",$T37="同居の親族"),$P$18,0)),0)</f>
        <v>0</v>
      </c>
      <c r="BQ38" s="101">
        <f>IF(AND($B$4="志賀山荘",D37&lt;&gt;""),IF($BM37=1,0,IF($T37="その他",$P$18,0)),0)</f>
        <v>0</v>
      </c>
      <c r="BR38" s="101">
        <f>IF(AND($B$4="志賀山荘",D37&lt;&gt;""),IF(AND(OR($T37="本人",$T37="配偶者",$T37="子",$T37="父母",$T37="義父母",$T37="同居の親族"),$BM37=1,$Q37="有"),$P$18,0),0)</f>
        <v>0</v>
      </c>
      <c r="BS38" s="101">
        <f>IF(AND($B$4="志賀山荘",D37&lt;&gt;""),IF(AND($T37="その他",$BM37=1,$Q37="有"),$P$18,0),0)</f>
        <v>0</v>
      </c>
      <c r="BT38" s="101">
        <f>IF(AND($B$4="志賀山荘",D37&lt;&gt;""),IF($BM37=0,0,IF($Q37="無",$P$18,0)),0)</f>
        <v>0</v>
      </c>
      <c r="BU38" s="101">
        <f>IF(AND($B$4="志賀山荘",D37&lt;&gt;""),IF(OR($BM$18&gt;10,$BM$18&lt;4),IF($BT38=0,IF(SUM(BP38:BS38)&gt;0,$P$18,0),0),0),0)</f>
        <v>0</v>
      </c>
      <c r="BV38" s="101">
        <f>IF(AND($B$4="志賀山荘",D37&lt;&gt;""),COUNTIF($AA37,"○")+COUNTIF($AG37,"○")+COUNTIF($AM37,"○"),0)</f>
        <v>0</v>
      </c>
      <c r="BW38" s="102">
        <f>IF(AND($B$4="志賀山荘",D37&lt;&gt;""),COUNTIF($AD37,"○")+COUNTIF($AJ37,"○")+COUNTIF($AP37,"○"),0)</f>
        <v>0</v>
      </c>
      <c r="BX38" s="100">
        <f>IF(AND($B$4="勝浦ﾎﾃﾙ三日月",D37&lt;&gt;""),IF(AND(COUNTA($T37)=1,$BM37=1),IF(Q37="無",0,$P$18),$P$18),0)</f>
        <v>0</v>
      </c>
      <c r="BY38" s="101">
        <f>IF(AND($B$4="勝浦ﾎﾃﾙ三日月",D37&lt;&gt;""),IF(AND(COUNTA($T37)=1,$BM37=1,Q37="無"),$P$18,0),0)</f>
        <v>1</v>
      </c>
      <c r="BZ38" s="102">
        <f>IF(AND($B$4="勝浦ﾎﾃﾙ三日月",D37&lt;&gt;""),IF(AND(COUNTA($T37)=1,$N37&gt;11),$P$18,0),0)</f>
        <v>0</v>
      </c>
      <c r="CA38" s="100">
        <f>IF(AND($B15="ﾙｽﾂA.宿泊ﾊﾟｯｸ",D37&lt;&gt;""),$J15,0)</f>
        <v>0</v>
      </c>
      <c r="CB38" s="101">
        <f>IF(AND($B16="ﾙｽﾂB.宿泊券",D37&lt;&gt;""),$J16,0)</f>
        <v>0</v>
      </c>
      <c r="CC38" s="101">
        <f>IF(AND($B17="ﾙｽﾂC.割引券",D37&lt;&gt;""),$J17,0)</f>
        <v>0</v>
      </c>
      <c r="CD38" s="102">
        <f>IF(AND($B18="ﾙｽﾂD.ﾎﾟｲﾝﾄ券",D37&lt;&gt;""),$J18,0)</f>
        <v>0</v>
      </c>
      <c r="CE38" s="103">
        <f>IF(AND($B14="ｽｶｲﾊﾟｰｸﾎﾃﾙ",D37&lt;&gt;""),$J14,0)</f>
        <v>0</v>
      </c>
      <c r="CF38" s="101">
        <f>IF(AND($B14="穂高ﾋﾞｭｰﾎﾃﾙ",D37&lt;&gt;""),$J14,0)</f>
        <v>0</v>
      </c>
      <c r="CG38" s="104">
        <f>IF(AND($B14="由布院倶楽部",D37&lt;&gt;""),$J14,0)</f>
        <v>0</v>
      </c>
      <c r="CH38" s="105">
        <f>SUM(BP$25*BP38,BQ$25*BQ38,BR$25*BR38,BS$25*BS38,BT$25*BT38,BU$25*BU38,BV$25*BV38,BW$25*BW38,BX$25*BX38,BY$25*BY38,BZ$25*BZ38,CA$25*CA38,CB$25*CB38,CC$25*CC38,CD$25*CD38,CE$25*CE38,CF$25*CF38,CG$25*CG38)</f>
        <v>0</v>
      </c>
      <c r="CI38" s="106">
        <f>IF(BP38&gt;0,TEXT(BP$25*BP38,"\#,##0"),"")</f>
      </c>
      <c r="CJ38" s="107">
        <f>IF(BQ38&gt;0,TEXT(BQ$25*BQ38,"\#,##0"),"")</f>
      </c>
      <c r="CK38" s="107">
        <f>IF(BR38&gt;0,TEXT(BR$25*BR38,"\#,##0"),"")</f>
      </c>
      <c r="CL38" s="107">
        <f>IF(BS38&gt;0,TEXT(BS$25*BS38,"\#,##0"),"")</f>
      </c>
      <c r="CM38" s="107">
        <f>IF(BT38&gt;0,TEXT(BT$25*BT38,"\#,##0"),"")</f>
      </c>
      <c r="CN38" s="107">
        <f>IF(BU38&gt;0,TEXT(BU$25*BU38,"+\#,##0"),"")</f>
      </c>
      <c r="CO38" s="107">
        <f>IF(BV38&gt;0,TEXT(BV$25*BV38,"+\#,##0"),"")</f>
      </c>
      <c r="CP38" s="108">
        <f>IF(BW38&gt;0,TEXT(BW$25*BW38,"+\#,##0"),"")</f>
      </c>
      <c r="CQ38" s="109">
        <f>IF(BX38&gt;0,TEXT(BX$25*BX38,"\#,##0"),"")</f>
      </c>
      <c r="CR38" s="107" t="str">
        <f>IF(BY38&gt;0,TEXT(BY$25*BY38,"\#,##0"),"")</f>
        <v>¥0</v>
      </c>
      <c r="CS38" s="108">
        <f>IF(BZ38&gt;0,TEXT(BZ$25*BZ38,"+\#,##0"),"")</f>
      </c>
      <c r="CT38" s="120"/>
      <c r="CU38" s="121"/>
      <c r="CV38" s="121"/>
      <c r="CW38" s="122"/>
      <c r="CX38" s="123"/>
      <c r="CY38" s="123"/>
      <c r="CZ38" s="124"/>
      <c r="DA38" s="112" t="str">
        <f>IF(CH38=0,"- ",CI38&amp;CJ38&amp;CK38&amp;CL38&amp;CM38&amp;CN38&amp;CO38&amp;CP38&amp;CQ38&amp;CR38&amp;CS38&amp;CT38&amp;CU38&amp;CV38&amp;CW38&amp;CX38&amp;CY38&amp;CZ38&amp;IF(BO38&gt;1,TEXT(CH38,"=\#,##0"),""))</f>
        <v>- </v>
      </c>
    </row>
    <row r="39" spans="1:105" ht="15.75" customHeight="1">
      <c r="A39" s="1"/>
      <c r="B39" s="204"/>
      <c r="C39" s="205"/>
      <c r="D39" s="217" t="s">
        <v>64</v>
      </c>
      <c r="E39" s="218"/>
      <c r="F39" s="218"/>
      <c r="G39" s="218"/>
      <c r="H39" s="218"/>
      <c r="I39" s="218"/>
      <c r="J39" s="218"/>
      <c r="K39" s="218"/>
      <c r="L39" s="218"/>
      <c r="M39" s="219"/>
      <c r="N39" s="223">
        <v>88</v>
      </c>
      <c r="O39" s="224"/>
      <c r="P39" s="225"/>
      <c r="Q39" s="331"/>
      <c r="R39" s="332"/>
      <c r="S39" s="332"/>
      <c r="T39" s="335" t="s">
        <v>63</v>
      </c>
      <c r="U39" s="336"/>
      <c r="V39" s="336"/>
      <c r="W39" s="336"/>
      <c r="X39" s="336"/>
      <c r="Y39" s="336"/>
      <c r="Z39" s="337"/>
      <c r="AA39" s="211" t="s">
        <v>0</v>
      </c>
      <c r="AB39" s="212"/>
      <c r="AC39" s="213"/>
      <c r="AD39" s="211" t="s">
        <v>0</v>
      </c>
      <c r="AE39" s="212"/>
      <c r="AF39" s="213"/>
      <c r="AG39" s="211"/>
      <c r="AH39" s="212"/>
      <c r="AI39" s="213"/>
      <c r="AJ39" s="211"/>
      <c r="AK39" s="212"/>
      <c r="AL39" s="213"/>
      <c r="AM39" s="211"/>
      <c r="AN39" s="212"/>
      <c r="AO39" s="213"/>
      <c r="AP39" s="211"/>
      <c r="AQ39" s="212"/>
      <c r="AR39" s="213"/>
      <c r="AS39" s="361" t="str">
        <f>IF(D39="","",DA39)</f>
        <v>リネン料+入湯税＝合計</v>
      </c>
      <c r="AT39" s="197"/>
      <c r="AU39" s="197"/>
      <c r="AV39" s="197"/>
      <c r="AW39" s="197"/>
      <c r="AX39" s="197"/>
      <c r="AY39" s="197"/>
      <c r="AZ39" s="197"/>
      <c r="BA39" s="197"/>
      <c r="BB39" s="197"/>
      <c r="BC39" s="197"/>
      <c r="BD39" s="197"/>
      <c r="BE39" s="197"/>
      <c r="BF39" s="197"/>
      <c r="BG39" s="197"/>
      <c r="BH39" s="197"/>
      <c r="BI39" s="197"/>
      <c r="BJ39" s="197"/>
      <c r="BK39" s="197"/>
      <c r="BL39" s="198"/>
      <c r="BM39" s="10">
        <f>IF(N39="",0,IF(OR(N39=0,N39=1,N39=2,N39=3,N39=4,N39=5),1,0))</f>
        <v>0</v>
      </c>
      <c r="BN39" s="86"/>
      <c r="BP39" s="87"/>
      <c r="BQ39" s="88"/>
      <c r="BR39" s="88"/>
      <c r="BS39" s="88"/>
      <c r="BT39" s="88"/>
      <c r="BU39" s="88"/>
      <c r="BV39" s="88"/>
      <c r="BW39" s="89"/>
      <c r="BX39" s="87"/>
      <c r="BY39" s="88"/>
      <c r="BZ39" s="89"/>
      <c r="CA39" s="87"/>
      <c r="CB39" s="88"/>
      <c r="CC39" s="88"/>
      <c r="CD39" s="89"/>
      <c r="CE39" s="90"/>
      <c r="CF39" s="88"/>
      <c r="CG39" s="91"/>
      <c r="CH39" s="113"/>
      <c r="CI39" s="93">
        <f aca="true" t="shared" si="6" ref="CI39:CS39">IF(BP40&gt;0,BP$24,"")</f>
      </c>
      <c r="CJ39" s="94">
        <f t="shared" si="6"/>
      </c>
      <c r="CK39" s="94">
        <f t="shared" si="6"/>
      </c>
      <c r="CL39" s="94">
        <f t="shared" si="6"/>
      </c>
      <c r="CM39" s="94">
        <f t="shared" si="6"/>
      </c>
      <c r="CN39" s="94">
        <f t="shared" si="6"/>
      </c>
      <c r="CO39" s="94">
        <f t="shared" si="6"/>
      </c>
      <c r="CP39" s="95">
        <f t="shared" si="6"/>
      </c>
      <c r="CQ39" s="96" t="str">
        <f t="shared" si="6"/>
        <v>リネン料</v>
      </c>
      <c r="CR39" s="94">
        <f t="shared" si="6"/>
      </c>
      <c r="CS39" s="95" t="str">
        <f t="shared" si="6"/>
        <v>+入湯税</v>
      </c>
      <c r="CT39" s="114"/>
      <c r="CU39" s="115"/>
      <c r="CV39" s="115"/>
      <c r="CW39" s="116"/>
      <c r="CX39" s="117"/>
      <c r="CY39" s="117"/>
      <c r="CZ39" s="118"/>
      <c r="DA39" s="119" t="str">
        <f>CI39&amp;CJ39&amp;CK39&amp;CL39&amp;CM39&amp;CN39&amp;CO39&amp;CP39&amp;CQ39&amp;CR39&amp;CS39&amp;CT39&amp;CU39&amp;CV39&amp;CW39&amp;CX39&amp;CY39&amp;CZ39&amp;IF(AND(CH40&gt;0,BO40&gt;1),"＝合計","")</f>
        <v>リネン料+入湯税＝合計</v>
      </c>
    </row>
    <row r="40" spans="1:105" ht="15.75" customHeight="1">
      <c r="A40" s="1"/>
      <c r="B40" s="204"/>
      <c r="C40" s="205"/>
      <c r="D40" s="220"/>
      <c r="E40" s="221"/>
      <c r="F40" s="221"/>
      <c r="G40" s="221"/>
      <c r="H40" s="221"/>
      <c r="I40" s="221"/>
      <c r="J40" s="221"/>
      <c r="K40" s="221"/>
      <c r="L40" s="221"/>
      <c r="M40" s="222"/>
      <c r="N40" s="223"/>
      <c r="O40" s="224"/>
      <c r="P40" s="225"/>
      <c r="Q40" s="333"/>
      <c r="R40" s="334"/>
      <c r="S40" s="334"/>
      <c r="T40" s="338"/>
      <c r="U40" s="339"/>
      <c r="V40" s="339"/>
      <c r="W40" s="339"/>
      <c r="X40" s="339"/>
      <c r="Y40" s="339"/>
      <c r="Z40" s="340"/>
      <c r="AA40" s="214"/>
      <c r="AB40" s="215"/>
      <c r="AC40" s="216"/>
      <c r="AD40" s="214"/>
      <c r="AE40" s="215"/>
      <c r="AF40" s="216"/>
      <c r="AG40" s="214"/>
      <c r="AH40" s="215"/>
      <c r="AI40" s="216"/>
      <c r="AJ40" s="214"/>
      <c r="AK40" s="215"/>
      <c r="AL40" s="216"/>
      <c r="AM40" s="214"/>
      <c r="AN40" s="215"/>
      <c r="AO40" s="216"/>
      <c r="AP40" s="214"/>
      <c r="AQ40" s="215"/>
      <c r="AR40" s="216"/>
      <c r="AS40" s="235" t="str">
        <f>IF(D39="","",DA40)</f>
        <v>¥600+¥150=¥750</v>
      </c>
      <c r="AT40" s="236"/>
      <c r="AU40" s="236"/>
      <c r="AV40" s="236"/>
      <c r="AW40" s="236"/>
      <c r="AX40" s="236"/>
      <c r="AY40" s="236"/>
      <c r="AZ40" s="236"/>
      <c r="BA40" s="236"/>
      <c r="BB40" s="236"/>
      <c r="BC40" s="236"/>
      <c r="BD40" s="236"/>
      <c r="BE40" s="236"/>
      <c r="BF40" s="236"/>
      <c r="BG40" s="236"/>
      <c r="BH40" s="236"/>
      <c r="BI40" s="236"/>
      <c r="BJ40" s="236"/>
      <c r="BK40" s="236"/>
      <c r="BL40" s="237"/>
      <c r="BM40" s="10"/>
      <c r="BN40" s="86"/>
      <c r="BO40" s="6">
        <f>COUNTIF(BP40:CG40,"&gt;0")</f>
        <v>2</v>
      </c>
      <c r="BP40" s="100">
        <f>IF(AND($B$4="志賀山荘",D39&lt;&gt;""),IF($BM39=1,0,IF(OR($T39="本人",$T39="配偶者",$T39="子",$T39="父母",$T39="義父母",$T39="同居の親族"),$P$18,0)),0)</f>
        <v>0</v>
      </c>
      <c r="BQ40" s="101">
        <f>IF(AND($B$4="志賀山荘",D39&lt;&gt;""),IF($BM39=1,0,IF($T39="その他",$P$18,0)),0)</f>
        <v>0</v>
      </c>
      <c r="BR40" s="101">
        <f>IF(AND($B$4="志賀山荘",D39&lt;&gt;""),IF(AND(OR($T39="本人",$T39="配偶者",$T39="子",$T39="父母",$T39="義父母",$T39="同居の親族"),$BM39=1,$Q39="有"),$P$18,0),0)</f>
        <v>0</v>
      </c>
      <c r="BS40" s="101">
        <f>IF(AND($B$4="志賀山荘",D39&lt;&gt;""),IF(AND($T39="その他",$BM39=1,$Q39="有"),$P$18,0),0)</f>
        <v>0</v>
      </c>
      <c r="BT40" s="101">
        <f>IF(AND($B$4="志賀山荘",D39&lt;&gt;""),IF($BM39=0,0,IF($Q39="無",$P$18,0)),0)</f>
        <v>0</v>
      </c>
      <c r="BU40" s="101">
        <f>IF(AND($B$4="志賀山荘",D39&lt;&gt;""),IF(OR($BM$18&gt;10,$BM$18&lt;4),IF($BT40=0,IF(SUM(BP40:BS40)&gt;0,$P$18,0),0),0),0)</f>
        <v>0</v>
      </c>
      <c r="BV40" s="101">
        <f>IF(AND($B$4="志賀山荘",D39&lt;&gt;""),COUNTIF($AA39,"○")+COUNTIF($AG39,"○")+COUNTIF($AM39,"○"),0)</f>
        <v>0</v>
      </c>
      <c r="BW40" s="102">
        <f>IF(AND($B$4="志賀山荘",D39&lt;&gt;""),COUNTIF($AD39,"○")+COUNTIF($AJ39,"○")+COUNTIF($AP39,"○"),0)</f>
        <v>0</v>
      </c>
      <c r="BX40" s="100">
        <f>IF(AND($B$4="勝浦ﾎﾃﾙ三日月",D39&lt;&gt;""),IF(AND(COUNTA($T39)=1,$BM39=1),IF(Q39="無",0,$P$18),$P$18),0)</f>
        <v>1</v>
      </c>
      <c r="BY40" s="101">
        <f>IF(AND($B$4="勝浦ﾎﾃﾙ三日月",D39&lt;&gt;""),IF(AND(COUNTA($T39)=1,$BM39=1,Q39="無"),$P$18,0),0)</f>
        <v>0</v>
      </c>
      <c r="BZ40" s="102">
        <f>IF(AND($B$4="勝浦ﾎﾃﾙ三日月",D39&lt;&gt;""),IF(AND(COUNTA($T39)=1,$N39&gt;11),$P$18,0),0)</f>
        <v>1</v>
      </c>
      <c r="CA40" s="100">
        <f>IF(AND($B17="ﾙｽﾂA.宿泊ﾊﾟｯｸ",D39&lt;&gt;""),$J17,0)</f>
        <v>0</v>
      </c>
      <c r="CB40" s="101">
        <f>IF(AND($B18="ﾙｽﾂB.宿泊券",D39&lt;&gt;""),$J18,0)</f>
        <v>0</v>
      </c>
      <c r="CC40" s="101">
        <f>IF(AND($B19="ﾙｽﾂC.割引券",D39&lt;&gt;""),$J19,0)</f>
        <v>0</v>
      </c>
      <c r="CD40" s="102">
        <f>IF(AND($B20="ﾙｽﾂD.ﾎﾟｲﾝﾄ券",D39&lt;&gt;""),$J20,0)</f>
        <v>0</v>
      </c>
      <c r="CE40" s="103">
        <f>IF(AND($B16="ｽｶｲﾊﾟｰｸﾎﾃﾙ",D39&lt;&gt;""),$J16,0)</f>
        <v>0</v>
      </c>
      <c r="CF40" s="101">
        <f>IF(AND($B16="穂高ﾋﾞｭｰﾎﾃﾙ",D39&lt;&gt;""),$J16,0)</f>
        <v>0</v>
      </c>
      <c r="CG40" s="104">
        <f>IF(AND($B16="由布院倶楽部",D39&lt;&gt;""),$J16,0)</f>
        <v>0</v>
      </c>
      <c r="CH40" s="105">
        <f>SUM(BP$25*BP40,BQ$25*BQ40,BR$25*BR40,BS$25*BS40,BT$25*BT40,BU$25*BU40,BV$25*BV40,BW$25*BW40,BX$25*BX40,BY$25*BY40,BZ$25*BZ40,CA$25*CA40,CB$25*CB40,CC$25*CC40,CD$25*CD40,CE$25*CE40,CF$25*CF40,CG$25*CG40)</f>
        <v>750</v>
      </c>
      <c r="CI40" s="106">
        <f>IF(BP40&gt;0,TEXT(BP$25*BP40,"\#,##0"),"")</f>
      </c>
      <c r="CJ40" s="107">
        <f>IF(BQ40&gt;0,TEXT(BQ$25*BQ40,"\#,##0"),"")</f>
      </c>
      <c r="CK40" s="107">
        <f>IF(BR40&gt;0,TEXT(BR$25*BR40,"\#,##0"),"")</f>
      </c>
      <c r="CL40" s="107">
        <f>IF(BS40&gt;0,TEXT(BS$25*BS40,"\#,##0"),"")</f>
      </c>
      <c r="CM40" s="107">
        <f>IF(BT40&gt;0,TEXT(BT$25*BT40,"\#,##0"),"")</f>
      </c>
      <c r="CN40" s="107">
        <f>IF(BU40&gt;0,TEXT(BU$25*BU40,"+\#,##0"),"")</f>
      </c>
      <c r="CO40" s="107">
        <f>IF(BV40&gt;0,TEXT(BV$25*BV40,"+\#,##0"),"")</f>
      </c>
      <c r="CP40" s="108">
        <f>IF(BW40&gt;0,TEXT(BW$25*BW40,"+\#,##0"),"")</f>
      </c>
      <c r="CQ40" s="109" t="str">
        <f>IF(BX40&gt;0,TEXT(BX$25*BX40,"\#,##0"),"")</f>
        <v>¥600</v>
      </c>
      <c r="CR40" s="107">
        <f>IF(BY40&gt;0,TEXT(BY$25*BY40,"\#,##0"),"")</f>
      </c>
      <c r="CS40" s="108" t="str">
        <f>IF(BZ40&gt;0,TEXT(BZ$25*BZ40,"+\#,##0"),"")</f>
        <v>+¥150</v>
      </c>
      <c r="CT40" s="120"/>
      <c r="CU40" s="121"/>
      <c r="CV40" s="121"/>
      <c r="CW40" s="122"/>
      <c r="CX40" s="123"/>
      <c r="CY40" s="123"/>
      <c r="CZ40" s="124"/>
      <c r="DA40" s="112" t="str">
        <f>IF(CH40=0,"- ",CI40&amp;CJ40&amp;CK40&amp;CL40&amp;CM40&amp;CN40&amp;CO40&amp;CP40&amp;CQ40&amp;CR40&amp;CS40&amp;CT40&amp;CU40&amp;CV40&amp;CW40&amp;CX40&amp;CY40&amp;CZ40&amp;IF(BO40&gt;1,TEXT(CH40,"=\#,##0"),""))</f>
        <v>¥600+¥150=¥750</v>
      </c>
    </row>
    <row r="41" spans="1:105" ht="15.75" customHeight="1">
      <c r="A41" s="1"/>
      <c r="B41" s="204"/>
      <c r="C41" s="205"/>
      <c r="D41" s="217" t="s">
        <v>97</v>
      </c>
      <c r="E41" s="218"/>
      <c r="F41" s="218"/>
      <c r="G41" s="218"/>
      <c r="H41" s="218"/>
      <c r="I41" s="218"/>
      <c r="J41" s="218"/>
      <c r="K41" s="218"/>
      <c r="L41" s="218"/>
      <c r="M41" s="219"/>
      <c r="N41" s="223">
        <v>35</v>
      </c>
      <c r="O41" s="224"/>
      <c r="P41" s="225"/>
      <c r="Q41" s="331"/>
      <c r="R41" s="332"/>
      <c r="S41" s="332"/>
      <c r="T41" s="335" t="s">
        <v>107</v>
      </c>
      <c r="U41" s="336"/>
      <c r="V41" s="336"/>
      <c r="W41" s="336"/>
      <c r="X41" s="336"/>
      <c r="Y41" s="336"/>
      <c r="Z41" s="337"/>
      <c r="AA41" s="211" t="s">
        <v>0</v>
      </c>
      <c r="AB41" s="212"/>
      <c r="AC41" s="213"/>
      <c r="AD41" s="211" t="s">
        <v>0</v>
      </c>
      <c r="AE41" s="212"/>
      <c r="AF41" s="213"/>
      <c r="AG41" s="211"/>
      <c r="AH41" s="212"/>
      <c r="AI41" s="213"/>
      <c r="AJ41" s="211"/>
      <c r="AK41" s="212"/>
      <c r="AL41" s="213"/>
      <c r="AM41" s="211"/>
      <c r="AN41" s="212"/>
      <c r="AO41" s="213"/>
      <c r="AP41" s="211"/>
      <c r="AQ41" s="212"/>
      <c r="AR41" s="213"/>
      <c r="AS41" s="361" t="str">
        <f>IF(D41="","",DA41)</f>
        <v>リネン料+入湯税＝合計</v>
      </c>
      <c r="AT41" s="197"/>
      <c r="AU41" s="197"/>
      <c r="AV41" s="197"/>
      <c r="AW41" s="197"/>
      <c r="AX41" s="197"/>
      <c r="AY41" s="197"/>
      <c r="AZ41" s="197"/>
      <c r="BA41" s="197"/>
      <c r="BB41" s="197"/>
      <c r="BC41" s="197"/>
      <c r="BD41" s="197"/>
      <c r="BE41" s="197"/>
      <c r="BF41" s="197"/>
      <c r="BG41" s="197"/>
      <c r="BH41" s="197"/>
      <c r="BI41" s="197"/>
      <c r="BJ41" s="197"/>
      <c r="BK41" s="197"/>
      <c r="BL41" s="198"/>
      <c r="BM41" s="10">
        <f>IF(N41="",0,IF(OR(N41=0,N41=1,N41=2,N41=3,N41=4,N41=5),1,0))</f>
        <v>0</v>
      </c>
      <c r="BN41" s="86"/>
      <c r="BP41" s="87"/>
      <c r="BQ41" s="88"/>
      <c r="BR41" s="88"/>
      <c r="BS41" s="88"/>
      <c r="BT41" s="88"/>
      <c r="BU41" s="88"/>
      <c r="BV41" s="88"/>
      <c r="BW41" s="89"/>
      <c r="BX41" s="87"/>
      <c r="BY41" s="88"/>
      <c r="BZ41" s="89"/>
      <c r="CA41" s="87"/>
      <c r="CB41" s="88"/>
      <c r="CC41" s="88"/>
      <c r="CD41" s="89"/>
      <c r="CE41" s="90"/>
      <c r="CF41" s="88"/>
      <c r="CG41" s="91"/>
      <c r="CH41" s="113"/>
      <c r="CI41" s="93">
        <f aca="true" t="shared" si="7" ref="CI41:CS41">IF(BP42&gt;0,BP$24,"")</f>
      </c>
      <c r="CJ41" s="94">
        <f t="shared" si="7"/>
      </c>
      <c r="CK41" s="94">
        <f t="shared" si="7"/>
      </c>
      <c r="CL41" s="94">
        <f t="shared" si="7"/>
      </c>
      <c r="CM41" s="94">
        <f t="shared" si="7"/>
      </c>
      <c r="CN41" s="94">
        <f t="shared" si="7"/>
      </c>
      <c r="CO41" s="94">
        <f t="shared" si="7"/>
      </c>
      <c r="CP41" s="95">
        <f t="shared" si="7"/>
      </c>
      <c r="CQ41" s="96" t="str">
        <f t="shared" si="7"/>
        <v>リネン料</v>
      </c>
      <c r="CR41" s="94">
        <f t="shared" si="7"/>
      </c>
      <c r="CS41" s="95" t="str">
        <f t="shared" si="7"/>
        <v>+入湯税</v>
      </c>
      <c r="CT41" s="114"/>
      <c r="CU41" s="115"/>
      <c r="CV41" s="115"/>
      <c r="CW41" s="116"/>
      <c r="CX41" s="117"/>
      <c r="CY41" s="117"/>
      <c r="CZ41" s="118"/>
      <c r="DA41" s="119" t="str">
        <f>CI41&amp;CJ41&amp;CK41&amp;CL41&amp;CM41&amp;CN41&amp;CO41&amp;CP41&amp;CQ41&amp;CR41&amp;CS41&amp;CT41&amp;CU41&amp;CV41&amp;CW41&amp;CX41&amp;CY41&amp;CZ41&amp;IF(AND(CH42&gt;0,BO42&gt;1),"＝合計","")</f>
        <v>リネン料+入湯税＝合計</v>
      </c>
    </row>
    <row r="42" spans="1:105" ht="15.75" customHeight="1" thickBot="1">
      <c r="A42" s="1"/>
      <c r="B42" s="204"/>
      <c r="C42" s="205"/>
      <c r="D42" s="220"/>
      <c r="E42" s="221"/>
      <c r="F42" s="221"/>
      <c r="G42" s="221"/>
      <c r="H42" s="221"/>
      <c r="I42" s="221"/>
      <c r="J42" s="221"/>
      <c r="K42" s="221"/>
      <c r="L42" s="221"/>
      <c r="M42" s="222"/>
      <c r="N42" s="223"/>
      <c r="O42" s="224"/>
      <c r="P42" s="225"/>
      <c r="Q42" s="333"/>
      <c r="R42" s="334"/>
      <c r="S42" s="334"/>
      <c r="T42" s="338"/>
      <c r="U42" s="339"/>
      <c r="V42" s="339"/>
      <c r="W42" s="339"/>
      <c r="X42" s="339"/>
      <c r="Y42" s="339"/>
      <c r="Z42" s="340"/>
      <c r="AA42" s="214"/>
      <c r="AB42" s="215"/>
      <c r="AC42" s="216"/>
      <c r="AD42" s="214"/>
      <c r="AE42" s="215"/>
      <c r="AF42" s="216"/>
      <c r="AG42" s="214"/>
      <c r="AH42" s="215"/>
      <c r="AI42" s="216"/>
      <c r="AJ42" s="214"/>
      <c r="AK42" s="215"/>
      <c r="AL42" s="216"/>
      <c r="AM42" s="214"/>
      <c r="AN42" s="215"/>
      <c r="AO42" s="216"/>
      <c r="AP42" s="214"/>
      <c r="AQ42" s="215"/>
      <c r="AR42" s="216"/>
      <c r="AS42" s="235" t="str">
        <f>IF(D41="","",DA42)</f>
        <v>¥600+¥150=¥750</v>
      </c>
      <c r="AT42" s="236"/>
      <c r="AU42" s="236"/>
      <c r="AV42" s="236"/>
      <c r="AW42" s="236"/>
      <c r="AX42" s="236"/>
      <c r="AY42" s="236"/>
      <c r="AZ42" s="236"/>
      <c r="BA42" s="236"/>
      <c r="BB42" s="236"/>
      <c r="BC42" s="236"/>
      <c r="BD42" s="236"/>
      <c r="BE42" s="236"/>
      <c r="BF42" s="236"/>
      <c r="BG42" s="236"/>
      <c r="BH42" s="236"/>
      <c r="BI42" s="236"/>
      <c r="BJ42" s="236"/>
      <c r="BK42" s="236"/>
      <c r="BL42" s="237"/>
      <c r="BM42" s="10"/>
      <c r="BN42" s="86"/>
      <c r="BO42" s="6">
        <f>COUNTIF(BP42:CG42,"&gt;0")</f>
        <v>2</v>
      </c>
      <c r="BP42" s="125">
        <f>IF(AND($B$4="志賀山荘",D41&lt;&gt;""),IF($BM41=1,0,IF(OR($T41="本人",$T41="配偶者",$T41="子",$T41="父母",$T41="義父母",$T41="同居の親族"),$P$18,0)),0)</f>
        <v>0</v>
      </c>
      <c r="BQ42" s="126">
        <f>IF(AND($B$4="志賀山荘",D41&lt;&gt;""),IF($BM41=1,0,IF($T41="その他",$P$18,0)),0)</f>
        <v>0</v>
      </c>
      <c r="BR42" s="126">
        <f>IF(AND($B$4="志賀山荘",D41&lt;&gt;""),IF(AND(OR($T41="本人",$T41="配偶者",$T41="子",$T41="父母",$T41="義父母",$T41="同居の親族"),$BM41=1,$Q41="有"),$P$18,0),0)</f>
        <v>0</v>
      </c>
      <c r="BS42" s="126">
        <f>IF(AND($B$4="志賀山荘",D41&lt;&gt;""),IF(AND($T41="その他",$BM41=1,$Q41="有"),$P$18,0),0)</f>
        <v>0</v>
      </c>
      <c r="BT42" s="126">
        <f>IF(AND($B$4="志賀山荘",D41&lt;&gt;""),IF($BM41=0,0,IF($Q41="無",$P$18,0)),0)</f>
        <v>0</v>
      </c>
      <c r="BU42" s="126">
        <f>IF(AND($B$4="志賀山荘",D41&lt;&gt;""),IF(OR($BM$18&gt;10,$BM$18&lt;4),IF($BT42=0,IF(SUM(BP42:BS42)&gt;0,$P$18,0),0),0),0)</f>
        <v>0</v>
      </c>
      <c r="BV42" s="126">
        <f>IF(AND($B$4="志賀山荘",D41&lt;&gt;""),COUNTIF($AA41,"○")+COUNTIF($AG41,"○")+COUNTIF($AM41,"○"),0)</f>
        <v>0</v>
      </c>
      <c r="BW42" s="127">
        <f>IF(AND($B$4="志賀山荘",D41&lt;&gt;""),COUNTIF($AD41,"○")+COUNTIF($AJ41,"○")+COUNTIF($AP41,"○"),0)</f>
        <v>0</v>
      </c>
      <c r="BX42" s="125">
        <f>IF(AND($B$4="勝浦ﾎﾃﾙ三日月",D41&lt;&gt;""),IF(AND(COUNTA($T41)=1,$BM41=1),IF(Q41="無",0,$P$18),$P$18),0)</f>
        <v>1</v>
      </c>
      <c r="BY42" s="126">
        <f>IF(AND($B$4="勝浦ﾎﾃﾙ三日月",D41&lt;&gt;""),IF(AND(COUNTA($T41)=1,$BM41=1,Q41="無"),$P$18,0),0)</f>
        <v>0</v>
      </c>
      <c r="BZ42" s="127">
        <f>IF(AND($B$4="勝浦ﾎﾃﾙ三日月",D41&lt;&gt;""),IF(AND(COUNTA($T41)=1,$N41&gt;11),$P$18,0),0)</f>
        <v>1</v>
      </c>
      <c r="CA42" s="125">
        <f>IF(AND($B19="ﾙｽﾂA.宿泊ﾊﾟｯｸ",D41&lt;&gt;""),$J19,0)</f>
        <v>0</v>
      </c>
      <c r="CB42" s="126">
        <f>IF(AND($B20="ﾙｽﾂB.宿泊券",D41&lt;&gt;""),$J20,0)</f>
        <v>0</v>
      </c>
      <c r="CC42" s="126">
        <f>IF(AND($B21="ﾙｽﾂC.割引券",D41&lt;&gt;""),$J21,0)</f>
        <v>0</v>
      </c>
      <c r="CD42" s="127">
        <f>IF(AND($B22="ﾙｽﾂD.ﾎﾟｲﾝﾄ券",D41&lt;&gt;""),$J22,0)</f>
        <v>0</v>
      </c>
      <c r="CE42" s="128">
        <f>IF(AND($B18="ｽｶｲﾊﾟｰｸﾎﾃﾙ",D41&lt;&gt;""),$J18,0)</f>
        <v>0</v>
      </c>
      <c r="CF42" s="129">
        <f>IF(AND($B18="穂高ﾋﾞｭｰﾎﾃﾙ",D41&lt;&gt;""),$J18,0)</f>
        <v>0</v>
      </c>
      <c r="CG42" s="130">
        <f>IF(AND($B18="由布院倶楽部",D41&lt;&gt;""),$J18,0)</f>
        <v>0</v>
      </c>
      <c r="CH42" s="131">
        <f>SUM(BP$25*BP42,BQ$25*BQ42,BR$25*BR42,BS$25*BS42,BT$25*BT42,BU$25*BU42,BV$25*BV42,BW$25*BW42,BX$25*BX42,BY$25*BY42,BZ$25*BZ42,CA$25*CA42,CB$25*CB42,CC$25*CC42,CD$25*CD42,CE$25*CE42,CF$25*CF42,CG$25*CG42)</f>
        <v>750</v>
      </c>
      <c r="CI42" s="132">
        <f>IF(BP42&gt;0,TEXT(BP$25*BP42,"\#,##0"),"")</f>
      </c>
      <c r="CJ42" s="133">
        <f>IF(BQ42&gt;0,TEXT(BQ$25*BQ42,"\#,##0"),"")</f>
      </c>
      <c r="CK42" s="133">
        <f>IF(BR42&gt;0,TEXT(BR$25*BR42,"\#,##0"),"")</f>
      </c>
      <c r="CL42" s="133">
        <f>IF(BS42&gt;0,TEXT(BS$25*BS42,"\#,##0"),"")</f>
      </c>
      <c r="CM42" s="133">
        <f>IF(BT42&gt;0,TEXT(BT$25*BT42,"\#,##0"),"")</f>
      </c>
      <c r="CN42" s="133">
        <f>IF(BU42&gt;0,TEXT(BU$25*BU42,"+\#,##0"),"")</f>
      </c>
      <c r="CO42" s="133">
        <f>IF(BV42&gt;0,TEXT(BV$25*BV42,"+\#,##0"),"")</f>
      </c>
      <c r="CP42" s="134">
        <f>IF(BW42&gt;0,TEXT(BW$25*BW42,"+\#,##0"),"")</f>
      </c>
      <c r="CQ42" s="135" t="str">
        <f>IF(BX42&gt;0,TEXT(BX$25*BX42,"\#,##0"),"")</f>
        <v>¥600</v>
      </c>
      <c r="CR42" s="133">
        <f>IF(BY42&gt;0,TEXT(BY$25*BY42,"\#,##0"),"")</f>
      </c>
      <c r="CS42" s="134" t="str">
        <f>IF(BZ42&gt;0,TEXT(BZ$25*BZ42,"+\#,##0"),"")</f>
        <v>+¥150</v>
      </c>
      <c r="CT42" s="136"/>
      <c r="CU42" s="137"/>
      <c r="CV42" s="137"/>
      <c r="CW42" s="138"/>
      <c r="CX42" s="139"/>
      <c r="CY42" s="139"/>
      <c r="CZ42" s="140"/>
      <c r="DA42" s="141" t="str">
        <f>IF(CH42=0,"- ",CI42&amp;CJ42&amp;CK42&amp;CL42&amp;CM42&amp;CN42&amp;CO42&amp;CP42&amp;CQ42&amp;CR42&amp;CS42&amp;CT42&amp;CU42&amp;CV42&amp;CW42&amp;CX42&amp;CY42&amp;CZ42&amp;IF(BO42&gt;1,TEXT(CH42,"=\#,##0"),""))</f>
        <v>¥600+¥150=¥750</v>
      </c>
    </row>
    <row r="43" spans="1:105" ht="9.75" customHeight="1" thickTop="1">
      <c r="A43" s="8"/>
      <c r="B43" s="202" t="s">
        <v>28</v>
      </c>
      <c r="C43" s="203"/>
      <c r="D43" s="316" t="s">
        <v>29</v>
      </c>
      <c r="E43" s="317"/>
      <c r="F43" s="317"/>
      <c r="G43" s="317"/>
      <c r="H43" s="318"/>
      <c r="I43" s="316" t="s">
        <v>30</v>
      </c>
      <c r="J43" s="317"/>
      <c r="K43" s="317"/>
      <c r="L43" s="317"/>
      <c r="M43" s="318"/>
      <c r="N43" s="316" t="s">
        <v>31</v>
      </c>
      <c r="O43" s="317"/>
      <c r="P43" s="317"/>
      <c r="Q43" s="317"/>
      <c r="R43" s="317"/>
      <c r="S43" s="317"/>
      <c r="T43" s="317"/>
      <c r="U43" s="318"/>
      <c r="V43" s="316" t="s">
        <v>32</v>
      </c>
      <c r="W43" s="317"/>
      <c r="X43" s="317"/>
      <c r="Y43" s="317"/>
      <c r="Z43" s="318"/>
      <c r="AA43" s="379" t="s">
        <v>26</v>
      </c>
      <c r="AB43" s="380"/>
      <c r="AC43" s="380"/>
      <c r="AD43" s="370">
        <f>COUNTIF(AA27:AC42,"○")+COUNTIF(AG27:AI42,"○")+COUNTIF(AM27:AO42,"○")</f>
        <v>7</v>
      </c>
      <c r="AE43" s="370"/>
      <c r="AF43" s="370"/>
      <c r="AG43" s="373" t="s">
        <v>37</v>
      </c>
      <c r="AH43" s="373"/>
      <c r="AI43" s="374"/>
      <c r="AJ43" s="379" t="s">
        <v>38</v>
      </c>
      <c r="AK43" s="380"/>
      <c r="AL43" s="380"/>
      <c r="AM43" s="370">
        <f>COUNTIF(AD27:AF42,"○")+COUNTIF(AJ27:AL42,"○")+COUNTIF(AP27:AR42,"○")</f>
        <v>7</v>
      </c>
      <c r="AN43" s="370"/>
      <c r="AO43" s="370"/>
      <c r="AP43" s="373" t="s">
        <v>37</v>
      </c>
      <c r="AQ43" s="373"/>
      <c r="AR43" s="374"/>
      <c r="AS43" s="409" t="str">
        <f>IF(CH45&gt;0,TEXT(CH45,"合計金額　#,##0円"),"-")</f>
        <v>合計金額 5,100円</v>
      </c>
      <c r="AT43" s="410"/>
      <c r="AU43" s="410"/>
      <c r="AV43" s="410"/>
      <c r="AW43" s="410"/>
      <c r="AX43" s="410"/>
      <c r="AY43" s="410"/>
      <c r="AZ43" s="410"/>
      <c r="BA43" s="410"/>
      <c r="BB43" s="410"/>
      <c r="BC43" s="410"/>
      <c r="BD43" s="410"/>
      <c r="BE43" s="410"/>
      <c r="BF43" s="410"/>
      <c r="BG43" s="410"/>
      <c r="BH43" s="410"/>
      <c r="BI43" s="410"/>
      <c r="BJ43" s="410"/>
      <c r="BK43" s="410"/>
      <c r="BL43" s="411"/>
      <c r="BM43" s="10"/>
      <c r="BP43" s="142"/>
      <c r="BQ43" s="142"/>
      <c r="BR43" s="142"/>
      <c r="BS43" s="142"/>
      <c r="BT43" s="142"/>
      <c r="BU43" s="142"/>
      <c r="BV43" s="142"/>
      <c r="BW43" s="142"/>
      <c r="BX43" s="142"/>
      <c r="BY43" s="142"/>
      <c r="BZ43" s="142"/>
      <c r="CA43" s="143"/>
      <c r="CB43" s="143"/>
      <c r="CC43" s="143"/>
      <c r="CD43" s="143"/>
      <c r="CE43" s="144"/>
      <c r="CF43" s="144"/>
      <c r="CG43" s="144"/>
      <c r="CH43" s="145"/>
      <c r="CI43" s="5"/>
      <c r="CJ43" s="5"/>
      <c r="CK43" s="5"/>
      <c r="CL43" s="5"/>
      <c r="CM43" s="5"/>
      <c r="CN43" s="5"/>
      <c r="CO43" s="5"/>
      <c r="CP43" s="5"/>
      <c r="CQ43" s="5"/>
      <c r="CR43" s="5"/>
      <c r="CS43" s="5"/>
      <c r="CT43" s="5"/>
      <c r="CU43" s="5"/>
      <c r="CV43" s="5"/>
      <c r="CW43" s="5"/>
      <c r="CX43" s="5"/>
      <c r="CY43" s="5"/>
      <c r="CZ43" s="5"/>
      <c r="DA43" s="5"/>
    </row>
    <row r="44" spans="1:105" ht="5.25" customHeight="1">
      <c r="A44" s="8"/>
      <c r="B44" s="204"/>
      <c r="C44" s="205"/>
      <c r="D44" s="322"/>
      <c r="E44" s="323"/>
      <c r="F44" s="323"/>
      <c r="G44" s="323"/>
      <c r="H44" s="324"/>
      <c r="I44" s="322"/>
      <c r="J44" s="323"/>
      <c r="K44" s="323"/>
      <c r="L44" s="323"/>
      <c r="M44" s="324"/>
      <c r="N44" s="322"/>
      <c r="O44" s="323"/>
      <c r="P44" s="323"/>
      <c r="Q44" s="323"/>
      <c r="R44" s="323"/>
      <c r="S44" s="323"/>
      <c r="T44" s="323"/>
      <c r="U44" s="324"/>
      <c r="V44" s="322"/>
      <c r="W44" s="323"/>
      <c r="X44" s="323"/>
      <c r="Y44" s="323"/>
      <c r="Z44" s="324"/>
      <c r="AA44" s="381"/>
      <c r="AB44" s="382"/>
      <c r="AC44" s="382"/>
      <c r="AD44" s="371"/>
      <c r="AE44" s="371"/>
      <c r="AF44" s="371"/>
      <c r="AG44" s="375"/>
      <c r="AH44" s="375"/>
      <c r="AI44" s="376"/>
      <c r="AJ44" s="381"/>
      <c r="AK44" s="382"/>
      <c r="AL44" s="382"/>
      <c r="AM44" s="371"/>
      <c r="AN44" s="371"/>
      <c r="AO44" s="371"/>
      <c r="AP44" s="375"/>
      <c r="AQ44" s="375"/>
      <c r="AR44" s="376"/>
      <c r="AS44" s="412"/>
      <c r="AT44" s="413"/>
      <c r="AU44" s="413"/>
      <c r="AV44" s="413"/>
      <c r="AW44" s="413"/>
      <c r="AX44" s="413"/>
      <c r="AY44" s="413"/>
      <c r="AZ44" s="413"/>
      <c r="BA44" s="413"/>
      <c r="BB44" s="413"/>
      <c r="BC44" s="413"/>
      <c r="BD44" s="413"/>
      <c r="BE44" s="413"/>
      <c r="BF44" s="413"/>
      <c r="BG44" s="413"/>
      <c r="BH44" s="413"/>
      <c r="BI44" s="413"/>
      <c r="BJ44" s="413"/>
      <c r="BK44" s="413"/>
      <c r="BL44" s="414"/>
      <c r="BM44" s="10"/>
      <c r="BP44" s="142"/>
      <c r="BQ44" s="142"/>
      <c r="BR44" s="142"/>
      <c r="BS44" s="142"/>
      <c r="BT44" s="142"/>
      <c r="BU44" s="142"/>
      <c r="BV44" s="142"/>
      <c r="BW44" s="142"/>
      <c r="BX44" s="142"/>
      <c r="BY44" s="142"/>
      <c r="BZ44" s="142"/>
      <c r="CA44" s="143"/>
      <c r="CB44" s="143"/>
      <c r="CC44" s="143"/>
      <c r="CD44" s="143"/>
      <c r="CE44" s="143"/>
      <c r="CF44" s="143"/>
      <c r="CG44" s="143"/>
      <c r="CH44" s="145"/>
      <c r="CI44" s="5"/>
      <c r="CJ44" s="5"/>
      <c r="CK44" s="5"/>
      <c r="CL44" s="5"/>
      <c r="CM44" s="5"/>
      <c r="CN44" s="5"/>
      <c r="CO44" s="5"/>
      <c r="CP44" s="5"/>
      <c r="CQ44" s="5"/>
      <c r="CR44" s="5"/>
      <c r="CS44" s="5"/>
      <c r="CT44" s="5"/>
      <c r="CU44" s="5"/>
      <c r="CV44" s="5"/>
      <c r="CW44" s="5"/>
      <c r="CX44" s="5"/>
      <c r="CY44" s="5"/>
      <c r="CZ44" s="5"/>
      <c r="DA44" s="5"/>
    </row>
    <row r="45" spans="1:105" ht="9.75" customHeight="1">
      <c r="A45" s="8"/>
      <c r="B45" s="204"/>
      <c r="C45" s="205"/>
      <c r="D45" s="396">
        <v>3</v>
      </c>
      <c r="E45" s="397"/>
      <c r="F45" s="397"/>
      <c r="G45" s="397"/>
      <c r="H45" s="398"/>
      <c r="I45" s="396">
        <v>3</v>
      </c>
      <c r="J45" s="397"/>
      <c r="K45" s="397"/>
      <c r="L45" s="397"/>
      <c r="M45" s="398"/>
      <c r="N45" s="401">
        <f>SUM(BM27,BM29,BM31,BM33,BM35,BM37,BM39,BM41)</f>
        <v>2</v>
      </c>
      <c r="O45" s="370"/>
      <c r="P45" s="370"/>
      <c r="Q45" s="370"/>
      <c r="R45" s="370"/>
      <c r="S45" s="370"/>
      <c r="T45" s="370"/>
      <c r="U45" s="402"/>
      <c r="V45" s="401">
        <f>SUM(D45:U46)</f>
        <v>8</v>
      </c>
      <c r="W45" s="370"/>
      <c r="X45" s="370"/>
      <c r="Y45" s="370"/>
      <c r="Z45" s="402"/>
      <c r="AA45" s="381"/>
      <c r="AB45" s="382"/>
      <c r="AC45" s="382"/>
      <c r="AD45" s="371"/>
      <c r="AE45" s="371"/>
      <c r="AF45" s="371"/>
      <c r="AG45" s="375"/>
      <c r="AH45" s="375"/>
      <c r="AI45" s="376"/>
      <c r="AJ45" s="381"/>
      <c r="AK45" s="382"/>
      <c r="AL45" s="382"/>
      <c r="AM45" s="371"/>
      <c r="AN45" s="371"/>
      <c r="AO45" s="371"/>
      <c r="AP45" s="375"/>
      <c r="AQ45" s="375"/>
      <c r="AR45" s="376"/>
      <c r="AS45" s="412"/>
      <c r="AT45" s="413"/>
      <c r="AU45" s="413"/>
      <c r="AV45" s="413"/>
      <c r="AW45" s="413"/>
      <c r="AX45" s="413"/>
      <c r="AY45" s="413"/>
      <c r="AZ45" s="413"/>
      <c r="BA45" s="413"/>
      <c r="BB45" s="413"/>
      <c r="BC45" s="413"/>
      <c r="BD45" s="413"/>
      <c r="BE45" s="413"/>
      <c r="BF45" s="413"/>
      <c r="BG45" s="413"/>
      <c r="BH45" s="413"/>
      <c r="BI45" s="413"/>
      <c r="BJ45" s="413"/>
      <c r="BK45" s="413"/>
      <c r="BL45" s="414"/>
      <c r="BM45" s="10"/>
      <c r="BP45" s="142"/>
      <c r="BQ45" s="142"/>
      <c r="BR45" s="142"/>
      <c r="BS45" s="142"/>
      <c r="BT45" s="142"/>
      <c r="BU45" s="142"/>
      <c r="BV45" s="142"/>
      <c r="BW45" s="142"/>
      <c r="BX45" s="142"/>
      <c r="BY45" s="142"/>
      <c r="BZ45" s="142"/>
      <c r="CA45" s="143"/>
      <c r="CB45" s="143"/>
      <c r="CC45" s="143"/>
      <c r="CD45" s="143"/>
      <c r="CE45" s="143"/>
      <c r="CF45" s="143"/>
      <c r="CG45" s="143"/>
      <c r="CH45" s="145">
        <f>SUM(CH28:CH42)</f>
        <v>5100</v>
      </c>
      <c r="CI45" s="5"/>
      <c r="CJ45" s="5"/>
      <c r="CK45" s="5"/>
      <c r="CL45" s="5"/>
      <c r="CM45" s="5"/>
      <c r="CN45" s="5"/>
      <c r="CO45" s="5"/>
      <c r="CP45" s="5"/>
      <c r="CQ45" s="5"/>
      <c r="CR45" s="5"/>
      <c r="CS45" s="5"/>
      <c r="CT45" s="5"/>
      <c r="CU45" s="5"/>
      <c r="CV45" s="5"/>
      <c r="CW45" s="5"/>
      <c r="CX45" s="5"/>
      <c r="CY45" s="5"/>
      <c r="CZ45" s="5"/>
      <c r="DA45" s="5"/>
    </row>
    <row r="46" spans="1:105" ht="13.5" customHeight="1">
      <c r="A46" s="8"/>
      <c r="B46" s="206"/>
      <c r="C46" s="207"/>
      <c r="D46" s="399"/>
      <c r="E46" s="294"/>
      <c r="F46" s="294"/>
      <c r="G46" s="294"/>
      <c r="H46" s="400"/>
      <c r="I46" s="399"/>
      <c r="J46" s="294"/>
      <c r="K46" s="294"/>
      <c r="L46" s="294"/>
      <c r="M46" s="400"/>
      <c r="N46" s="403"/>
      <c r="O46" s="372"/>
      <c r="P46" s="372"/>
      <c r="Q46" s="372"/>
      <c r="R46" s="372"/>
      <c r="S46" s="372"/>
      <c r="T46" s="372"/>
      <c r="U46" s="404"/>
      <c r="V46" s="403"/>
      <c r="W46" s="372"/>
      <c r="X46" s="372"/>
      <c r="Y46" s="372"/>
      <c r="Z46" s="404"/>
      <c r="AA46" s="383"/>
      <c r="AB46" s="384"/>
      <c r="AC46" s="384"/>
      <c r="AD46" s="372"/>
      <c r="AE46" s="372"/>
      <c r="AF46" s="372"/>
      <c r="AG46" s="377"/>
      <c r="AH46" s="377"/>
      <c r="AI46" s="378"/>
      <c r="AJ46" s="383"/>
      <c r="AK46" s="384"/>
      <c r="AL46" s="384"/>
      <c r="AM46" s="372"/>
      <c r="AN46" s="372"/>
      <c r="AO46" s="372"/>
      <c r="AP46" s="377"/>
      <c r="AQ46" s="377"/>
      <c r="AR46" s="378"/>
      <c r="AS46" s="146"/>
      <c r="AT46" s="147"/>
      <c r="AU46" s="147"/>
      <c r="AV46" s="147"/>
      <c r="AW46" s="147"/>
      <c r="AX46" s="147"/>
      <c r="AY46" s="147"/>
      <c r="AZ46" s="147"/>
      <c r="BA46" s="415" t="str">
        <f>IF($B$4="勝浦ﾎﾃﾙ三日月","※食事代は別途",IF($B$4="由布院倶楽部","利用料は現地精算",""))</f>
        <v>※食事代は別途</v>
      </c>
      <c r="BB46" s="415"/>
      <c r="BC46" s="415"/>
      <c r="BD46" s="415"/>
      <c r="BE46" s="415"/>
      <c r="BF46" s="415"/>
      <c r="BG46" s="415"/>
      <c r="BH46" s="415"/>
      <c r="BI46" s="415"/>
      <c r="BJ46" s="415"/>
      <c r="BK46" s="415"/>
      <c r="BL46" s="416"/>
      <c r="BM46" s="10"/>
      <c r="BP46" s="142"/>
      <c r="BQ46" s="142"/>
      <c r="BR46" s="142"/>
      <c r="BS46" s="142"/>
      <c r="BT46" s="142"/>
      <c r="BU46" s="142"/>
      <c r="BV46" s="142"/>
      <c r="BW46" s="142"/>
      <c r="BX46" s="142"/>
      <c r="BY46" s="142"/>
      <c r="BZ46" s="142"/>
      <c r="CA46" s="143"/>
      <c r="CB46" s="143"/>
      <c r="CC46" s="143"/>
      <c r="CD46" s="143"/>
      <c r="CE46" s="143"/>
      <c r="CF46" s="143"/>
      <c r="CG46" s="143"/>
      <c r="CH46" s="143"/>
      <c r="CI46" s="5"/>
      <c r="CJ46" s="5"/>
      <c r="CK46" s="5"/>
      <c r="CL46" s="5"/>
      <c r="CM46" s="5"/>
      <c r="CN46" s="5"/>
      <c r="CO46" s="5"/>
      <c r="CP46" s="5"/>
      <c r="CQ46" s="5"/>
      <c r="CR46" s="5"/>
      <c r="CS46" s="5"/>
      <c r="CT46" s="5"/>
      <c r="CU46" s="5"/>
      <c r="CV46" s="5"/>
      <c r="CW46" s="5"/>
      <c r="CX46" s="5"/>
      <c r="CY46" s="5"/>
      <c r="CZ46" s="5"/>
      <c r="DA46" s="5"/>
    </row>
    <row r="47" spans="1:65" ht="15" customHeight="1">
      <c r="A47" s="1"/>
      <c r="B47" s="158" t="s">
        <v>39</v>
      </c>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393"/>
      <c r="AY47" s="393"/>
      <c r="AZ47" s="393"/>
      <c r="BA47" s="393"/>
      <c r="BB47" s="393"/>
      <c r="BC47" s="393"/>
      <c r="BD47" s="393"/>
      <c r="BE47" s="393"/>
      <c r="BF47" s="393"/>
      <c r="BG47" s="393"/>
      <c r="BH47" s="393"/>
      <c r="BI47" s="393"/>
      <c r="BJ47" s="393"/>
      <c r="BK47" s="393"/>
      <c r="BL47" s="394"/>
      <c r="BM47" s="148"/>
    </row>
    <row r="48" spans="1:65" ht="13.5">
      <c r="A48" s="1"/>
      <c r="B48" s="174"/>
      <c r="C48" s="167"/>
      <c r="D48" s="167"/>
      <c r="E48" s="167"/>
      <c r="F48" s="167"/>
      <c r="G48" s="167"/>
      <c r="H48" s="167"/>
      <c r="I48" s="167"/>
      <c r="J48" s="167"/>
      <c r="K48" s="167"/>
      <c r="L48" s="167"/>
      <c r="M48" s="167"/>
      <c r="N48" s="167"/>
      <c r="O48" s="167"/>
      <c r="P48" s="167"/>
      <c r="Q48" s="167"/>
      <c r="R48" s="167"/>
      <c r="S48" s="167"/>
      <c r="T48" s="167"/>
      <c r="U48" s="175" t="str">
        <f>IF($BM$49=1,"↓必要事項を選択・入力してください","")</f>
        <v>↓必要事項を選択・入力してください</v>
      </c>
      <c r="V48" s="167"/>
      <c r="W48" s="167"/>
      <c r="X48" s="167"/>
      <c r="Y48" s="167"/>
      <c r="Z48" s="167"/>
      <c r="AA48" s="167"/>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c r="BF48" s="167"/>
      <c r="BG48" s="167"/>
      <c r="BH48" s="167"/>
      <c r="BI48" s="167"/>
      <c r="BJ48" s="167"/>
      <c r="BK48" s="167"/>
      <c r="BL48" s="176"/>
      <c r="BM48" s="148"/>
    </row>
    <row r="49" spans="1:78" ht="15" customHeight="1">
      <c r="A49" s="1"/>
      <c r="B49" s="174"/>
      <c r="C49" s="167" t="str">
        <f>IF($BM$49=1,"① 「キャンセル待ち」希望の有無 =&gt;","")</f>
        <v>① 「キャンセル待ち」希望の有無 =&gt;</v>
      </c>
      <c r="D49" s="167"/>
      <c r="E49" s="167"/>
      <c r="F49" s="167"/>
      <c r="G49" s="167"/>
      <c r="H49" s="167"/>
      <c r="I49" s="167"/>
      <c r="J49" s="167"/>
      <c r="K49" s="167"/>
      <c r="L49" s="167"/>
      <c r="M49" s="167"/>
      <c r="N49" s="167"/>
      <c r="O49" s="167"/>
      <c r="P49" s="167"/>
      <c r="Q49" s="167"/>
      <c r="R49" s="167"/>
      <c r="S49" s="167"/>
      <c r="T49" s="167"/>
      <c r="U49" s="395" t="s">
        <v>40</v>
      </c>
      <c r="V49" s="395"/>
      <c r="W49" s="395"/>
      <c r="X49" s="395"/>
      <c r="Y49" s="395"/>
      <c r="Z49" s="395"/>
      <c r="AA49" s="395"/>
      <c r="AB49" s="167"/>
      <c r="AC49" s="177" t="str">
        <f>IF($BM$49=1,"（抽選に外れた場合の上記申込日でキャンセル待ちとします。）","")</f>
        <v>（抽選に外れた場合の上記申込日でキャンセル待ちとします。）</v>
      </c>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76"/>
      <c r="BM49" s="166">
        <f>IF(OR($B$4="志賀山荘",$B$4="勝浦ﾎﾃﾙ三日月"),1,0)</f>
        <v>1</v>
      </c>
      <c r="BN49" s="149"/>
      <c r="BO49" s="149"/>
      <c r="BP49" s="149"/>
      <c r="BQ49" s="149"/>
      <c r="BR49" s="149"/>
      <c r="BS49" s="149"/>
      <c r="BT49" s="149"/>
      <c r="BU49" s="149"/>
      <c r="BV49" s="149"/>
      <c r="BW49" s="149"/>
      <c r="BX49" s="149"/>
      <c r="BY49" s="149"/>
      <c r="BZ49" s="149"/>
    </row>
    <row r="50" spans="1:78" ht="15" customHeight="1">
      <c r="A50" s="1"/>
      <c r="B50" s="174"/>
      <c r="C50" s="167" t="str">
        <f>IF($BM$50=1,"② 三日月ホテルの「夕食」　=&gt;","")</f>
        <v>② 三日月ホテルの「夕食」　=&gt;</v>
      </c>
      <c r="D50" s="167"/>
      <c r="E50" s="167"/>
      <c r="F50" s="167"/>
      <c r="G50" s="167"/>
      <c r="H50" s="167"/>
      <c r="I50" s="167"/>
      <c r="J50" s="167"/>
      <c r="K50" s="167"/>
      <c r="L50" s="167"/>
      <c r="M50" s="167"/>
      <c r="N50" s="167"/>
      <c r="O50" s="167"/>
      <c r="P50" s="167"/>
      <c r="Q50" s="167"/>
      <c r="R50" s="167"/>
      <c r="S50" s="167"/>
      <c r="T50" s="167"/>
      <c r="U50" s="395" t="s">
        <v>100</v>
      </c>
      <c r="V50" s="395"/>
      <c r="W50" s="395"/>
      <c r="X50" s="395"/>
      <c r="Y50" s="395"/>
      <c r="Z50" s="395"/>
      <c r="AA50" s="395"/>
      <c r="AB50" s="167"/>
      <c r="AC50" s="177" t="str">
        <f>IF($BM$50=1,"(「バイキング」または「和食」のいずれかを選択してください。)","")</f>
        <v>(「バイキング」または「和食」のいずれかを選択してください。)</v>
      </c>
      <c r="AD50" s="167"/>
      <c r="AE50" s="167"/>
      <c r="AF50" s="167"/>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76"/>
      <c r="BM50" s="166">
        <f>IF($B$4="勝浦ﾎﾃﾙ三日月",1,0)</f>
        <v>1</v>
      </c>
      <c r="BN50" s="149"/>
      <c r="BO50" s="149"/>
      <c r="BP50" s="149"/>
      <c r="BQ50" s="149"/>
      <c r="BR50" s="149"/>
      <c r="BS50" s="149"/>
      <c r="BT50" s="149"/>
      <c r="BU50" s="149"/>
      <c r="BV50" s="149"/>
      <c r="BW50" s="149"/>
      <c r="BX50" s="149"/>
      <c r="BY50" s="149"/>
      <c r="BZ50" s="149"/>
    </row>
    <row r="51" spans="1:78" ht="3.75" customHeight="1">
      <c r="A51" s="1"/>
      <c r="B51" s="174"/>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77"/>
      <c r="AD51" s="167"/>
      <c r="AE51" s="167"/>
      <c r="AF51" s="167"/>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76"/>
      <c r="BM51" s="166"/>
      <c r="BN51" s="149"/>
      <c r="BO51" s="149"/>
      <c r="BP51" s="149"/>
      <c r="BQ51" s="149"/>
      <c r="BR51" s="149"/>
      <c r="BS51" s="149"/>
      <c r="BT51" s="149"/>
      <c r="BU51" s="149"/>
      <c r="BV51" s="149"/>
      <c r="BW51" s="149"/>
      <c r="BX51" s="149"/>
      <c r="BY51" s="149"/>
      <c r="BZ51" s="149"/>
    </row>
    <row r="52" spans="1:78" ht="13.5">
      <c r="A52" s="1"/>
      <c r="B52" s="168" t="s">
        <v>113</v>
      </c>
      <c r="C52" s="169"/>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1"/>
      <c r="AY52" s="171"/>
      <c r="AZ52" s="171"/>
      <c r="BA52" s="171"/>
      <c r="BB52" s="171"/>
      <c r="BC52" s="171"/>
      <c r="BD52" s="171"/>
      <c r="BE52" s="171"/>
      <c r="BF52" s="171"/>
      <c r="BG52" s="171"/>
      <c r="BH52" s="171"/>
      <c r="BI52" s="171"/>
      <c r="BJ52" s="171"/>
      <c r="BK52" s="171"/>
      <c r="BL52" s="172"/>
      <c r="BM52" s="166">
        <f>IF(OR($B$4="ｽｶｲﾊﾟｰｸﾎﾃﾙ",$B$4="穂高ﾋﾞｭｰﾎﾃﾙ",$B$4="ﾙｽﾂﾘｿﾞｰﾄ"),1,0)</f>
        <v>0</v>
      </c>
      <c r="BN52" s="149"/>
      <c r="BO52" s="149"/>
      <c r="BP52" s="149"/>
      <c r="BQ52" s="149"/>
      <c r="BR52" s="149"/>
      <c r="BS52" s="149"/>
      <c r="BT52" s="149"/>
      <c r="BU52" s="149"/>
      <c r="BV52" s="149"/>
      <c r="BW52" s="149"/>
      <c r="BX52" s="149"/>
      <c r="BY52" s="149"/>
      <c r="BZ52" s="149"/>
    </row>
    <row r="53" spans="1:78" ht="15" customHeight="1">
      <c r="A53" s="1"/>
      <c r="B53" s="174"/>
      <c r="C53" s="385"/>
      <c r="D53" s="386"/>
      <c r="E53" s="386"/>
      <c r="F53" s="386"/>
      <c r="G53" s="386"/>
      <c r="H53" s="386"/>
      <c r="I53" s="386"/>
      <c r="J53" s="386"/>
      <c r="K53" s="386"/>
      <c r="L53" s="386"/>
      <c r="M53" s="386"/>
      <c r="N53" s="386"/>
      <c r="O53" s="386"/>
      <c r="P53" s="386"/>
      <c r="Q53" s="386"/>
      <c r="R53" s="386"/>
      <c r="S53" s="386"/>
      <c r="T53" s="386"/>
      <c r="U53" s="386"/>
      <c r="V53" s="386"/>
      <c r="W53" s="386"/>
      <c r="X53" s="386"/>
      <c r="Y53" s="386"/>
      <c r="Z53" s="386"/>
      <c r="AA53" s="386"/>
      <c r="AB53" s="386"/>
      <c r="AC53" s="386"/>
      <c r="AD53" s="386"/>
      <c r="AE53" s="386"/>
      <c r="AF53" s="386"/>
      <c r="AG53" s="386"/>
      <c r="AH53" s="386"/>
      <c r="AI53" s="386"/>
      <c r="AJ53" s="386"/>
      <c r="AK53" s="386"/>
      <c r="AL53" s="386"/>
      <c r="AM53" s="386"/>
      <c r="AN53" s="386"/>
      <c r="AO53" s="386"/>
      <c r="AP53" s="386"/>
      <c r="AQ53" s="386"/>
      <c r="AR53" s="386"/>
      <c r="AS53" s="386"/>
      <c r="AT53" s="386"/>
      <c r="AU53" s="386"/>
      <c r="AV53" s="386"/>
      <c r="AW53" s="386"/>
      <c r="AX53" s="386"/>
      <c r="AY53" s="386"/>
      <c r="AZ53" s="386"/>
      <c r="BA53" s="386"/>
      <c r="BB53" s="386"/>
      <c r="BC53" s="386"/>
      <c r="BD53" s="386"/>
      <c r="BE53" s="386"/>
      <c r="BF53" s="386"/>
      <c r="BG53" s="386"/>
      <c r="BH53" s="386"/>
      <c r="BI53" s="386"/>
      <c r="BJ53" s="386"/>
      <c r="BK53" s="386"/>
      <c r="BL53" s="178"/>
      <c r="BM53" s="166"/>
      <c r="BN53" s="149"/>
      <c r="BO53" s="149"/>
      <c r="BP53" s="149"/>
      <c r="BQ53" s="149"/>
      <c r="BR53" s="149"/>
      <c r="BS53" s="149"/>
      <c r="BT53" s="149"/>
      <c r="BU53" s="149"/>
      <c r="BV53" s="149"/>
      <c r="BW53" s="149"/>
      <c r="BX53" s="149"/>
      <c r="BY53" s="149"/>
      <c r="BZ53" s="149"/>
    </row>
    <row r="54" spans="1:65" ht="15.75" customHeight="1">
      <c r="A54" s="1"/>
      <c r="B54" s="179"/>
      <c r="C54" s="387"/>
      <c r="D54" s="387"/>
      <c r="E54" s="387"/>
      <c r="F54" s="387"/>
      <c r="G54" s="387"/>
      <c r="H54" s="387"/>
      <c r="I54" s="387"/>
      <c r="J54" s="387"/>
      <c r="K54" s="387"/>
      <c r="L54" s="387"/>
      <c r="M54" s="387"/>
      <c r="N54" s="387"/>
      <c r="O54" s="387"/>
      <c r="P54" s="387"/>
      <c r="Q54" s="387"/>
      <c r="R54" s="387"/>
      <c r="S54" s="387"/>
      <c r="T54" s="387"/>
      <c r="U54" s="387"/>
      <c r="V54" s="387"/>
      <c r="W54" s="387"/>
      <c r="X54" s="387"/>
      <c r="Y54" s="387"/>
      <c r="Z54" s="387"/>
      <c r="AA54" s="387"/>
      <c r="AB54" s="387"/>
      <c r="AC54" s="387"/>
      <c r="AD54" s="387"/>
      <c r="AE54" s="387"/>
      <c r="AF54" s="387"/>
      <c r="AG54" s="387"/>
      <c r="AH54" s="387"/>
      <c r="AI54" s="387"/>
      <c r="AJ54" s="387"/>
      <c r="AK54" s="387"/>
      <c r="AL54" s="387"/>
      <c r="AM54" s="387"/>
      <c r="AN54" s="387"/>
      <c r="AO54" s="387"/>
      <c r="AP54" s="387"/>
      <c r="AQ54" s="387"/>
      <c r="AR54" s="387"/>
      <c r="AS54" s="387"/>
      <c r="AT54" s="387"/>
      <c r="AU54" s="387"/>
      <c r="AV54" s="387"/>
      <c r="AW54" s="387"/>
      <c r="AX54" s="387"/>
      <c r="AY54" s="387"/>
      <c r="AZ54" s="387"/>
      <c r="BA54" s="387"/>
      <c r="BB54" s="387"/>
      <c r="BC54" s="387"/>
      <c r="BD54" s="387"/>
      <c r="BE54" s="387"/>
      <c r="BF54" s="387"/>
      <c r="BG54" s="387"/>
      <c r="BH54" s="387"/>
      <c r="BI54" s="387"/>
      <c r="BJ54" s="387"/>
      <c r="BK54" s="387"/>
      <c r="BL54" s="180"/>
      <c r="BM54" s="173">
        <f>DATE(YEAR($D$18),MONTH($D$18)+1,DAY(D18))</f>
        <v>41698</v>
      </c>
    </row>
    <row r="55" spans="1:86" s="154" customFormat="1" ht="18" customHeight="1">
      <c r="A55" s="3"/>
      <c r="B55" s="151" t="s">
        <v>127</v>
      </c>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45"/>
      <c r="BM55" s="152"/>
      <c r="BN55" s="6"/>
      <c r="BO55" s="6"/>
      <c r="BP55" s="6"/>
      <c r="BQ55" s="6"/>
      <c r="BR55" s="6"/>
      <c r="BS55" s="6"/>
      <c r="BT55" s="6"/>
      <c r="BU55" s="6"/>
      <c r="BV55" s="6"/>
      <c r="BW55" s="6"/>
      <c r="BX55" s="6"/>
      <c r="BY55" s="6"/>
      <c r="BZ55" s="6"/>
      <c r="CA55" s="153"/>
      <c r="CB55" s="153"/>
      <c r="CC55" s="153"/>
      <c r="CD55" s="153"/>
      <c r="CE55" s="153"/>
      <c r="CF55" s="153"/>
      <c r="CG55" s="153"/>
      <c r="CH55" s="153"/>
    </row>
    <row r="56" spans="1:86" s="154" customFormat="1" ht="15" customHeight="1">
      <c r="A56" s="3"/>
      <c r="B56" s="155" t="s">
        <v>124</v>
      </c>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45"/>
      <c r="BM56" s="152"/>
      <c r="BN56" s="6"/>
      <c r="BO56" s="6"/>
      <c r="BP56" s="6"/>
      <c r="BQ56" s="6"/>
      <c r="BR56" s="6"/>
      <c r="BS56" s="6"/>
      <c r="BT56" s="6"/>
      <c r="BU56" s="6"/>
      <c r="BV56" s="6"/>
      <c r="BW56" s="6"/>
      <c r="BX56" s="6"/>
      <c r="BY56" s="6"/>
      <c r="BZ56" s="6"/>
      <c r="CA56" s="153"/>
      <c r="CB56" s="153"/>
      <c r="CC56" s="153"/>
      <c r="CD56" s="153"/>
      <c r="CE56" s="153"/>
      <c r="CF56" s="153"/>
      <c r="CG56" s="153"/>
      <c r="CH56" s="153"/>
    </row>
    <row r="57" spans="1:86" s="154" customFormat="1" ht="15" customHeight="1">
      <c r="A57" s="3"/>
      <c r="B57" s="155" t="s">
        <v>117</v>
      </c>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45"/>
      <c r="BM57" s="152"/>
      <c r="BN57" s="6"/>
      <c r="BO57" s="6"/>
      <c r="BP57" s="6"/>
      <c r="BQ57" s="6"/>
      <c r="BR57" s="6"/>
      <c r="BS57" s="6"/>
      <c r="BT57" s="6"/>
      <c r="BU57" s="6"/>
      <c r="BV57" s="6"/>
      <c r="BW57" s="6"/>
      <c r="BX57" s="6"/>
      <c r="BY57" s="6"/>
      <c r="BZ57" s="6"/>
      <c r="CA57" s="153"/>
      <c r="CB57" s="153"/>
      <c r="CC57" s="153"/>
      <c r="CD57" s="153"/>
      <c r="CE57" s="153"/>
      <c r="CF57" s="153"/>
      <c r="CG57" s="153"/>
      <c r="CH57" s="153"/>
    </row>
    <row r="58" spans="1:86" s="154" customFormat="1" ht="15" customHeight="1">
      <c r="A58" s="3"/>
      <c r="B58" s="155" t="s">
        <v>118</v>
      </c>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45"/>
      <c r="BM58" s="152"/>
      <c r="BN58" s="6"/>
      <c r="BO58" s="6"/>
      <c r="BP58" s="6"/>
      <c r="BQ58" s="6"/>
      <c r="BR58" s="6"/>
      <c r="BS58" s="6"/>
      <c r="BT58" s="6"/>
      <c r="BU58" s="6"/>
      <c r="BV58" s="6"/>
      <c r="BW58" s="6"/>
      <c r="BX58" s="6"/>
      <c r="BY58" s="6"/>
      <c r="BZ58" s="6"/>
      <c r="CA58" s="153"/>
      <c r="CB58" s="153"/>
      <c r="CC58" s="153"/>
      <c r="CD58" s="153"/>
      <c r="CE58" s="153"/>
      <c r="CF58" s="153"/>
      <c r="CG58" s="153"/>
      <c r="CH58" s="153"/>
    </row>
    <row r="59" spans="1:86" s="154" customFormat="1" ht="15" customHeight="1">
      <c r="A59" s="3"/>
      <c r="B59" s="155" t="s">
        <v>119</v>
      </c>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45"/>
      <c r="BM59" s="152"/>
      <c r="BN59" s="6"/>
      <c r="BO59" s="6"/>
      <c r="BP59" s="6"/>
      <c r="BQ59" s="6"/>
      <c r="BR59" s="6"/>
      <c r="BS59" s="6"/>
      <c r="BT59" s="6"/>
      <c r="BU59" s="6"/>
      <c r="BV59" s="6"/>
      <c r="BW59" s="6"/>
      <c r="BX59" s="6"/>
      <c r="BY59" s="6"/>
      <c r="BZ59" s="6"/>
      <c r="CA59" s="153"/>
      <c r="CB59" s="153"/>
      <c r="CC59" s="153"/>
      <c r="CD59" s="153"/>
      <c r="CE59" s="153"/>
      <c r="CF59" s="153"/>
      <c r="CG59" s="153"/>
      <c r="CH59" s="153"/>
    </row>
    <row r="60" spans="1:86" s="154" customFormat="1" ht="15" customHeight="1">
      <c r="A60" s="3"/>
      <c r="B60" s="155" t="s">
        <v>125</v>
      </c>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45"/>
      <c r="BM60" s="152"/>
      <c r="BN60" s="6"/>
      <c r="BO60" s="6"/>
      <c r="BP60" s="6"/>
      <c r="BQ60" s="6"/>
      <c r="BR60" s="6"/>
      <c r="BS60" s="6"/>
      <c r="BT60" s="6"/>
      <c r="BU60" s="6"/>
      <c r="BV60" s="6"/>
      <c r="BW60" s="6"/>
      <c r="BX60" s="6"/>
      <c r="BY60" s="6"/>
      <c r="BZ60" s="6"/>
      <c r="CA60" s="153"/>
      <c r="CB60" s="153"/>
      <c r="CC60" s="153"/>
      <c r="CD60" s="153"/>
      <c r="CE60" s="153"/>
      <c r="CF60" s="153"/>
      <c r="CG60" s="153"/>
      <c r="CH60" s="153"/>
    </row>
    <row r="61" spans="1:86" s="154" customFormat="1" ht="15" customHeight="1">
      <c r="A61" s="3"/>
      <c r="B61" s="156"/>
      <c r="C61" s="3"/>
      <c r="D61" s="3" t="s">
        <v>56</v>
      </c>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45"/>
      <c r="BM61" s="152"/>
      <c r="BN61" s="6"/>
      <c r="BO61" s="6"/>
      <c r="BP61" s="6"/>
      <c r="BQ61" s="6"/>
      <c r="BR61" s="6"/>
      <c r="BS61" s="6"/>
      <c r="BT61" s="6"/>
      <c r="BU61" s="6"/>
      <c r="BV61" s="6"/>
      <c r="BW61" s="6"/>
      <c r="BX61" s="6"/>
      <c r="BY61" s="6"/>
      <c r="BZ61" s="6"/>
      <c r="CA61" s="153"/>
      <c r="CB61" s="153"/>
      <c r="CC61" s="153"/>
      <c r="CD61" s="153"/>
      <c r="CE61" s="153"/>
      <c r="CF61" s="153"/>
      <c r="CG61" s="153"/>
      <c r="CH61" s="153"/>
    </row>
    <row r="62" spans="1:86" s="154" customFormat="1" ht="15" customHeight="1">
      <c r="A62" s="3"/>
      <c r="B62" s="155" t="s">
        <v>126</v>
      </c>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45"/>
      <c r="BM62" s="152"/>
      <c r="BN62" s="6"/>
      <c r="BO62" s="6"/>
      <c r="BP62" s="6"/>
      <c r="BQ62" s="6"/>
      <c r="BR62" s="6"/>
      <c r="BS62" s="6"/>
      <c r="BT62" s="6"/>
      <c r="BU62" s="6"/>
      <c r="BV62" s="6"/>
      <c r="BW62" s="6"/>
      <c r="BX62" s="6"/>
      <c r="BY62" s="6"/>
      <c r="BZ62" s="6"/>
      <c r="CA62" s="153"/>
      <c r="CB62" s="153"/>
      <c r="CC62" s="153"/>
      <c r="CD62" s="153"/>
      <c r="CE62" s="153"/>
      <c r="CF62" s="153"/>
      <c r="CG62" s="153"/>
      <c r="CH62" s="153"/>
    </row>
    <row r="63" spans="1:86" s="154" customFormat="1" ht="15" customHeight="1">
      <c r="A63" s="3"/>
      <c r="B63" s="155"/>
      <c r="C63" s="3"/>
      <c r="D63" s="3" t="s">
        <v>57</v>
      </c>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45"/>
      <c r="BM63" s="152"/>
      <c r="BN63" s="6"/>
      <c r="BO63" s="6"/>
      <c r="BP63" s="6"/>
      <c r="BQ63" s="6"/>
      <c r="BR63" s="6"/>
      <c r="BS63" s="6"/>
      <c r="BT63" s="6"/>
      <c r="BU63" s="6"/>
      <c r="BV63" s="6"/>
      <c r="BW63" s="6"/>
      <c r="BX63" s="6"/>
      <c r="BY63" s="6"/>
      <c r="BZ63" s="6"/>
      <c r="CA63" s="153"/>
      <c r="CB63" s="153"/>
      <c r="CC63" s="153"/>
      <c r="CD63" s="153"/>
      <c r="CE63" s="153"/>
      <c r="CF63" s="153"/>
      <c r="CG63" s="153"/>
      <c r="CH63" s="153"/>
    </row>
    <row r="64" spans="1:86" s="154" customFormat="1" ht="15" customHeight="1">
      <c r="A64" s="3"/>
      <c r="B64" s="155" t="s">
        <v>120</v>
      </c>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45"/>
      <c r="BM64" s="152"/>
      <c r="BN64" s="6"/>
      <c r="BO64" s="6"/>
      <c r="BP64" s="6"/>
      <c r="BQ64" s="6"/>
      <c r="BR64" s="6"/>
      <c r="BS64" s="6"/>
      <c r="BT64" s="6"/>
      <c r="BU64" s="6"/>
      <c r="BV64" s="6"/>
      <c r="BW64" s="6"/>
      <c r="BX64" s="6"/>
      <c r="BY64" s="6"/>
      <c r="BZ64" s="6"/>
      <c r="CA64" s="153"/>
      <c r="CB64" s="153"/>
      <c r="CC64" s="153"/>
      <c r="CD64" s="153"/>
      <c r="CE64" s="153"/>
      <c r="CF64" s="153"/>
      <c r="CG64" s="153"/>
      <c r="CH64" s="153"/>
    </row>
    <row r="65" spans="1:86" s="154" customFormat="1" ht="15" customHeight="1">
      <c r="A65" s="3"/>
      <c r="B65" s="155" t="s">
        <v>132</v>
      </c>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45"/>
      <c r="BM65" s="152"/>
      <c r="BN65" s="6"/>
      <c r="BO65" s="6"/>
      <c r="BP65" s="6"/>
      <c r="BQ65" s="6"/>
      <c r="BR65" s="6"/>
      <c r="BS65" s="6"/>
      <c r="BT65" s="6"/>
      <c r="BU65" s="6"/>
      <c r="BV65" s="6"/>
      <c r="BW65" s="6"/>
      <c r="BX65" s="6"/>
      <c r="BY65" s="6"/>
      <c r="BZ65" s="6"/>
      <c r="CA65" s="153"/>
      <c r="CB65" s="153"/>
      <c r="CC65" s="153"/>
      <c r="CD65" s="153"/>
      <c r="CE65" s="153"/>
      <c r="CF65" s="153"/>
      <c r="CG65" s="153"/>
      <c r="CH65" s="153"/>
    </row>
    <row r="66" spans="1:86" s="154" customFormat="1" ht="15" customHeight="1">
      <c r="A66" s="3"/>
      <c r="B66" s="155" t="s">
        <v>121</v>
      </c>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45"/>
      <c r="BM66" s="152"/>
      <c r="BN66" s="6"/>
      <c r="BO66" s="6"/>
      <c r="BP66" s="6"/>
      <c r="BQ66" s="6"/>
      <c r="BR66" s="6"/>
      <c r="BS66" s="6"/>
      <c r="BT66" s="6"/>
      <c r="BU66" s="6"/>
      <c r="BV66" s="6"/>
      <c r="BW66" s="6"/>
      <c r="BX66" s="6"/>
      <c r="BY66" s="6"/>
      <c r="BZ66" s="6"/>
      <c r="CA66" s="153"/>
      <c r="CB66" s="153"/>
      <c r="CC66" s="153"/>
      <c r="CD66" s="153"/>
      <c r="CE66" s="153"/>
      <c r="CF66" s="153"/>
      <c r="CG66" s="153"/>
      <c r="CH66" s="153"/>
    </row>
    <row r="67" spans="1:86" s="154" customFormat="1" ht="15" customHeight="1">
      <c r="A67" s="3"/>
      <c r="B67" s="156" t="s">
        <v>128</v>
      </c>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45"/>
      <c r="BM67" s="152"/>
      <c r="BN67" s="6"/>
      <c r="BO67" s="6"/>
      <c r="BP67" s="6"/>
      <c r="BQ67" s="6"/>
      <c r="BR67" s="6"/>
      <c r="BS67" s="6"/>
      <c r="BT67" s="6"/>
      <c r="BU67" s="6"/>
      <c r="BV67" s="6"/>
      <c r="BW67" s="6"/>
      <c r="BX67" s="6"/>
      <c r="BY67" s="6"/>
      <c r="BZ67" s="6"/>
      <c r="CA67" s="153"/>
      <c r="CB67" s="153"/>
      <c r="CC67" s="153"/>
      <c r="CD67" s="153"/>
      <c r="CE67" s="153"/>
      <c r="CF67" s="153"/>
      <c r="CG67" s="153"/>
      <c r="CH67" s="153"/>
    </row>
    <row r="68" spans="1:86" s="154" customFormat="1" ht="13.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45"/>
      <c r="BM68" s="152"/>
      <c r="BN68" s="6"/>
      <c r="BO68" s="6"/>
      <c r="BP68" s="6"/>
      <c r="BQ68" s="6"/>
      <c r="BR68" s="6"/>
      <c r="BS68" s="6"/>
      <c r="BT68" s="6"/>
      <c r="BU68" s="6"/>
      <c r="BV68" s="6"/>
      <c r="BW68" s="6"/>
      <c r="BX68" s="6"/>
      <c r="BY68" s="6"/>
      <c r="BZ68" s="6"/>
      <c r="CA68" s="153"/>
      <c r="CB68" s="153"/>
      <c r="CC68" s="153"/>
      <c r="CD68" s="153"/>
      <c r="CE68" s="153"/>
      <c r="CF68" s="153"/>
      <c r="CG68" s="153"/>
      <c r="CH68" s="153"/>
    </row>
    <row r="69" ht="13.5" hidden="1"/>
    <row r="70" ht="13.5" hidden="1"/>
    <row r="71" ht="13.5" hidden="1"/>
    <row r="72" ht="13.5" hidden="1"/>
    <row r="73" ht="13.5" hidden="1"/>
    <row r="74" ht="13.5" hidden="1"/>
    <row r="75" ht="13.5" hidden="1"/>
    <row r="76" ht="13.5" hidden="1"/>
    <row r="77" ht="13.5" hidden="1"/>
  </sheetData>
  <sheetProtection sheet="1" objects="1" scenarios="1" selectLockedCells="1"/>
  <protectedRanges>
    <protectedRange sqref="D59:AR59 B58:C59 AS58:BF59 B57:R57 Z57:BF57" name="範囲12"/>
    <protectedRange sqref="D26:AO54" name="範囲10"/>
    <protectedRange sqref="AG13:AS15" name="範囲8"/>
    <protectedRange sqref="AJ11:AS12" name="範囲6"/>
    <protectedRange sqref="D11:N15" name="範囲5"/>
    <protectedRange sqref="AX3:BD3" name="範囲3"/>
    <protectedRange sqref="B3:D6" name="範囲2"/>
    <protectedRange sqref="D26:AO54" name="範囲1"/>
    <protectedRange sqref="E5:M6" name="範囲4"/>
    <protectedRange sqref="AY11:BF12" name="範囲7"/>
    <protectedRange sqref="AX16:BF21" name="範囲9"/>
    <protectedRange sqref="D55:W55" name="範囲11"/>
    <protectedRange sqref="AA58:AO58 E58:R58" name="範囲12_1"/>
    <protectedRange sqref="W58:Y58 S58 U58" name="範囲12_2"/>
    <protectedRange sqref="AP58:AR58" name="範囲12_3"/>
  </protectedRanges>
  <mergeCells count="188">
    <mergeCell ref="B1:W2"/>
    <mergeCell ref="BF4:BH4"/>
    <mergeCell ref="BI4:BK4"/>
    <mergeCell ref="U50:AA50"/>
    <mergeCell ref="AM43:AO46"/>
    <mergeCell ref="AP43:AR46"/>
    <mergeCell ref="AS43:BL45"/>
    <mergeCell ref="BA46:BL46"/>
    <mergeCell ref="AS41:BL41"/>
    <mergeCell ref="AS42:BL42"/>
    <mergeCell ref="C53:BK54"/>
    <mergeCell ref="B23:C23"/>
    <mergeCell ref="D23:BL23"/>
    <mergeCell ref="AX47:BL47"/>
    <mergeCell ref="U49:AA49"/>
    <mergeCell ref="D45:H46"/>
    <mergeCell ref="I45:M46"/>
    <mergeCell ref="N45:U46"/>
    <mergeCell ref="V45:Z46"/>
    <mergeCell ref="AJ43:AL46"/>
    <mergeCell ref="AA43:AC46"/>
    <mergeCell ref="AA41:AC42"/>
    <mergeCell ref="AD41:AF42"/>
    <mergeCell ref="AG41:AI42"/>
    <mergeCell ref="AJ41:AL42"/>
    <mergeCell ref="AM41:AO42"/>
    <mergeCell ref="D41:M42"/>
    <mergeCell ref="N41:P42"/>
    <mergeCell ref="Q41:S42"/>
    <mergeCell ref="T41:Z42"/>
    <mergeCell ref="B43:C46"/>
    <mergeCell ref="D43:H44"/>
    <mergeCell ref="I43:M44"/>
    <mergeCell ref="N43:U44"/>
    <mergeCell ref="V43:Z44"/>
    <mergeCell ref="AS39:BL39"/>
    <mergeCell ref="AS40:BL40"/>
    <mergeCell ref="AS37:BL37"/>
    <mergeCell ref="AS38:BL38"/>
    <mergeCell ref="AD43:AF46"/>
    <mergeCell ref="AG43:AI46"/>
    <mergeCell ref="AP41:AR42"/>
    <mergeCell ref="D39:M40"/>
    <mergeCell ref="N39:P40"/>
    <mergeCell ref="Q39:S40"/>
    <mergeCell ref="T39:Z40"/>
    <mergeCell ref="AA39:AC40"/>
    <mergeCell ref="AD39:AF40"/>
    <mergeCell ref="AG39:AI40"/>
    <mergeCell ref="AJ39:AL40"/>
    <mergeCell ref="AG37:AI38"/>
    <mergeCell ref="AJ37:AL38"/>
    <mergeCell ref="AM37:AO38"/>
    <mergeCell ref="AP37:AR38"/>
    <mergeCell ref="AM39:AO40"/>
    <mergeCell ref="AP39:AR40"/>
    <mergeCell ref="D37:M38"/>
    <mergeCell ref="N37:P38"/>
    <mergeCell ref="Q37:S38"/>
    <mergeCell ref="T37:Z38"/>
    <mergeCell ref="AS34:BL34"/>
    <mergeCell ref="T35:Z36"/>
    <mergeCell ref="AA35:AC36"/>
    <mergeCell ref="AD35:AF36"/>
    <mergeCell ref="AG35:AI36"/>
    <mergeCell ref="AJ35:AL36"/>
    <mergeCell ref="AM35:AO36"/>
    <mergeCell ref="AP35:AR36"/>
    <mergeCell ref="AS35:BL35"/>
    <mergeCell ref="AS36:BL36"/>
    <mergeCell ref="AS32:BL32"/>
    <mergeCell ref="D33:M34"/>
    <mergeCell ref="N33:P34"/>
    <mergeCell ref="Q33:S34"/>
    <mergeCell ref="T33:Z34"/>
    <mergeCell ref="AA33:AC34"/>
    <mergeCell ref="AD33:AF34"/>
    <mergeCell ref="AG33:AI34"/>
    <mergeCell ref="AM33:AO34"/>
    <mergeCell ref="AS33:BL33"/>
    <mergeCell ref="AS30:BL30"/>
    <mergeCell ref="D31:M32"/>
    <mergeCell ref="N31:P32"/>
    <mergeCell ref="Q31:S32"/>
    <mergeCell ref="T31:Z32"/>
    <mergeCell ref="AA31:AC32"/>
    <mergeCell ref="CQ25:CS25"/>
    <mergeCell ref="AD31:AF32"/>
    <mergeCell ref="AG31:AI32"/>
    <mergeCell ref="AP31:AR32"/>
    <mergeCell ref="AS31:BL31"/>
    <mergeCell ref="AD26:AF26"/>
    <mergeCell ref="AG26:AI26"/>
    <mergeCell ref="AJ26:AL26"/>
    <mergeCell ref="AS29:BL29"/>
    <mergeCell ref="AM27:AO28"/>
    <mergeCell ref="CH24:CH26"/>
    <mergeCell ref="CI24:CZ24"/>
    <mergeCell ref="AA24:AR24"/>
    <mergeCell ref="AS24:BL26"/>
    <mergeCell ref="AA26:AC26"/>
    <mergeCell ref="AM29:AO30"/>
    <mergeCell ref="AJ27:AL28"/>
    <mergeCell ref="AJ29:AL30"/>
    <mergeCell ref="AS27:BL27"/>
    <mergeCell ref="CI25:CP25"/>
    <mergeCell ref="DA24:DA26"/>
    <mergeCell ref="AA25:AB25"/>
    <mergeCell ref="AD25:AE25"/>
    <mergeCell ref="AG25:AH25"/>
    <mergeCell ref="AJ25:AK25"/>
    <mergeCell ref="AM25:AN25"/>
    <mergeCell ref="AP25:AQ25"/>
    <mergeCell ref="CT25:CW25"/>
    <mergeCell ref="AM26:AO26"/>
    <mergeCell ref="AP26:AR26"/>
    <mergeCell ref="T24:Z26"/>
    <mergeCell ref="Q29:S30"/>
    <mergeCell ref="T29:Z30"/>
    <mergeCell ref="T27:Z28"/>
    <mergeCell ref="AY20:BA22"/>
    <mergeCell ref="AL17:AM22"/>
    <mergeCell ref="AA29:AC30"/>
    <mergeCell ref="AA27:AC28"/>
    <mergeCell ref="AD27:AF28"/>
    <mergeCell ref="AG27:AI28"/>
    <mergeCell ref="B24:C42"/>
    <mergeCell ref="D24:M26"/>
    <mergeCell ref="N24:P26"/>
    <mergeCell ref="Q24:S26"/>
    <mergeCell ref="D27:M28"/>
    <mergeCell ref="N27:P28"/>
    <mergeCell ref="Q27:S28"/>
    <mergeCell ref="D35:M36"/>
    <mergeCell ref="N35:P36"/>
    <mergeCell ref="Q35:S36"/>
    <mergeCell ref="BB17:BL19"/>
    <mergeCell ref="D18:I19"/>
    <mergeCell ref="K18:L19"/>
    <mergeCell ref="P18:T19"/>
    <mergeCell ref="Y18:Z19"/>
    <mergeCell ref="AY17:BA19"/>
    <mergeCell ref="AN17:AV19"/>
    <mergeCell ref="AW17:AX22"/>
    <mergeCell ref="BB20:BL22"/>
    <mergeCell ref="D21:I22"/>
    <mergeCell ref="AX14:BA16"/>
    <mergeCell ref="AJ12:AL13"/>
    <mergeCell ref="AM12:BL13"/>
    <mergeCell ref="AH12:AI16"/>
    <mergeCell ref="AJ14:AW16"/>
    <mergeCell ref="O14:AG16"/>
    <mergeCell ref="AS28:BL28"/>
    <mergeCell ref="AG29:AI30"/>
    <mergeCell ref="AA37:AC38"/>
    <mergeCell ref="AD37:AF38"/>
    <mergeCell ref="AP29:AR30"/>
    <mergeCell ref="AP33:AR34"/>
    <mergeCell ref="AJ31:AL32"/>
    <mergeCell ref="AM31:AO32"/>
    <mergeCell ref="AJ33:AL34"/>
    <mergeCell ref="AP27:AR28"/>
    <mergeCell ref="B4:I4"/>
    <mergeCell ref="J4:L4"/>
    <mergeCell ref="M4:O4"/>
    <mergeCell ref="B6:I6"/>
    <mergeCell ref="J6:L6"/>
    <mergeCell ref="M6:O6"/>
    <mergeCell ref="B5:I5"/>
    <mergeCell ref="J5:L5"/>
    <mergeCell ref="M5:O5"/>
    <mergeCell ref="AD29:AF30"/>
    <mergeCell ref="D29:M30"/>
    <mergeCell ref="N29:P30"/>
    <mergeCell ref="B7:I7"/>
    <mergeCell ref="J7:L7"/>
    <mergeCell ref="Z8:AL9"/>
    <mergeCell ref="X6:AN7"/>
    <mergeCell ref="K21:L22"/>
    <mergeCell ref="Y21:Z22"/>
    <mergeCell ref="B12:C16"/>
    <mergeCell ref="O12:AG13"/>
    <mergeCell ref="B17:C22"/>
    <mergeCell ref="M7:O7"/>
    <mergeCell ref="B8:I8"/>
    <mergeCell ref="J8:L8"/>
    <mergeCell ref="M8:O8"/>
    <mergeCell ref="D12:N16"/>
  </mergeCells>
  <conditionalFormatting sqref="Q27:S30 Q39:S42">
    <cfRule type="expression" priority="1" dxfId="36" stopIfTrue="1">
      <formula>$BM27=1</formula>
    </cfRule>
  </conditionalFormatting>
  <conditionalFormatting sqref="Q31:S38">
    <cfRule type="expression" priority="2" dxfId="37" stopIfTrue="1">
      <formula>$BM31=1</formula>
    </cfRule>
  </conditionalFormatting>
  <conditionalFormatting sqref="U49:AA49">
    <cfRule type="expression" priority="3" dxfId="38" stopIfTrue="1">
      <formula>$BM49=1</formula>
    </cfRule>
    <cfRule type="expression" priority="4" dxfId="39" stopIfTrue="1">
      <formula>$BM$49=0</formula>
    </cfRule>
  </conditionalFormatting>
  <conditionalFormatting sqref="U50:AA51">
    <cfRule type="expression" priority="5" dxfId="38" stopIfTrue="1">
      <formula>$BM50=1</formula>
    </cfRule>
    <cfRule type="expression" priority="6" dxfId="39" stopIfTrue="1">
      <formula>$BM$50=0</formula>
    </cfRule>
  </conditionalFormatting>
  <conditionalFormatting sqref="J5:L8">
    <cfRule type="expression" priority="7" dxfId="40" stopIfTrue="1">
      <formula>$I$3=1</formula>
    </cfRule>
    <cfRule type="expression" priority="8" dxfId="39" stopIfTrue="1">
      <formula>$I$3&lt;&gt;1</formula>
    </cfRule>
  </conditionalFormatting>
  <conditionalFormatting sqref="M5:O8">
    <cfRule type="expression" priority="9" dxfId="41" stopIfTrue="1">
      <formula>$I$3=1</formula>
    </cfRule>
    <cfRule type="expression" priority="10" dxfId="39" stopIfTrue="1">
      <formula>$I$3&lt;&gt;1</formula>
    </cfRule>
  </conditionalFormatting>
  <conditionalFormatting sqref="B5:I8">
    <cfRule type="expression" priority="11" dxfId="42" stopIfTrue="1">
      <formula>$I$3=1</formula>
    </cfRule>
    <cfRule type="expression" priority="12" dxfId="39" stopIfTrue="1">
      <formula>$I$3&lt;&gt;1</formula>
    </cfRule>
  </conditionalFormatting>
  <conditionalFormatting sqref="J4:L4">
    <cfRule type="expression" priority="13" dxfId="40" stopIfTrue="1">
      <formula>$H$3=1</formula>
    </cfRule>
    <cfRule type="expression" priority="14" dxfId="39" stopIfTrue="1">
      <formula>$H$3&lt;&gt;1</formula>
    </cfRule>
  </conditionalFormatting>
  <conditionalFormatting sqref="M4:O4">
    <cfRule type="expression" priority="15" dxfId="41" stopIfTrue="1">
      <formula>$H$3=1</formula>
    </cfRule>
    <cfRule type="expression" priority="16" dxfId="39" stopIfTrue="1">
      <formula>$H$3&lt;&gt;1</formula>
    </cfRule>
  </conditionalFormatting>
  <conditionalFormatting sqref="Q24:S26">
    <cfRule type="expression" priority="17" dxfId="43" stopIfTrue="1">
      <formula>$N$45&gt;0</formula>
    </cfRule>
  </conditionalFormatting>
  <conditionalFormatting sqref="AS52:AT52">
    <cfRule type="expression" priority="18" dxfId="38" stopIfTrue="1">
      <formula>$U$52="利用する"</formula>
    </cfRule>
  </conditionalFormatting>
  <dataValidations count="7">
    <dataValidation type="list" allowBlank="1" showInputMessage="1" showErrorMessage="1" sqref="B4:I4">
      <formula1>"　　,志賀山荘,勝浦ﾎﾃﾙ三日月,ｽｶｲﾊﾟｰｸﾎﾃﾙ,穂高ﾋﾞｭｰﾎﾃﾙ,由布院倶楽部,ﾙｽﾂﾘｿﾞｰﾄ"</formula1>
    </dataValidation>
    <dataValidation type="list" allowBlank="1" showInputMessage="1" showErrorMessage="1" sqref="T27:Z42">
      <formula1>"本人,配偶者,子,父母,義父母,同居の親族,その他"</formula1>
    </dataValidation>
    <dataValidation type="list" allowBlank="1" showInputMessage="1" showErrorMessage="1" sqref="AA27:AR42">
      <formula1>"　,○"</formula1>
    </dataValidation>
    <dataValidation type="list" allowBlank="1" showInputMessage="1" showErrorMessage="1" sqref="Q27 Q41 Q39 Q37 Q35 Q33 Q31 Q29">
      <formula1>"有,無"</formula1>
    </dataValidation>
    <dataValidation type="list" allowBlank="1" showInputMessage="1" showErrorMessage="1" sqref="U49">
      <formula1>"　 ,希望する,希望しない"</formula1>
    </dataValidation>
    <dataValidation type="list" allowBlank="1" showInputMessage="1" showErrorMessage="1" sqref="U50:U51">
      <formula1>"　,バイキング,和食"</formula1>
    </dataValidation>
    <dataValidation allowBlank="1" showInputMessage="1" showErrorMessage="1" imeMode="off" sqref="BB17:BL22"/>
  </dataValidations>
  <printOptions/>
  <pageMargins left="0" right="0.4330708661417323" top="0.2755905511811024" bottom="0.2755905511811024" header="0.1968503937007874" footer="0.1968503937007874"/>
  <pageSetup cellComments="asDisplayed" fitToHeight="1" fitToWidth="1" horizontalDpi="600" verticalDpi="600" orientation="portrait" paperSize="9" scale="97" r:id="rId4"/>
  <drawing r:id="rId3"/>
  <legacyDrawing r:id="rId2"/>
</worksheet>
</file>

<file path=xl/worksheets/sheet2.xml><?xml version="1.0" encoding="utf-8"?>
<worksheet xmlns="http://schemas.openxmlformats.org/spreadsheetml/2006/main" xmlns:r="http://schemas.openxmlformats.org/officeDocument/2006/relationships">
  <dimension ref="A1:DA67"/>
  <sheetViews>
    <sheetView showGridLines="0" showRowColHeaders="0" tabSelected="1" zoomScaleSheetLayoutView="100" zoomScalePageLayoutView="0" workbookViewId="0" topLeftCell="A1">
      <selection activeCell="B4" sqref="B4:I4"/>
    </sheetView>
  </sheetViews>
  <sheetFormatPr defaultColWidth="0" defaultRowHeight="13.5"/>
  <cols>
    <col min="1" max="1" width="2.625" style="2" customWidth="1"/>
    <col min="2" max="2" width="1.625" style="2" customWidth="1"/>
    <col min="3" max="3" width="2.125" style="2" customWidth="1"/>
    <col min="4" max="11" width="1.625" style="2" customWidth="1"/>
    <col min="12" max="12" width="1.4921875" style="2" customWidth="1"/>
    <col min="13" max="16" width="1.625" style="2" customWidth="1"/>
    <col min="17" max="19" width="1.37890625" style="2" customWidth="1"/>
    <col min="20" max="26" width="1.625" style="2" customWidth="1"/>
    <col min="27" max="44" width="1.4921875" style="2" customWidth="1"/>
    <col min="45" max="45" width="1.625" style="2" customWidth="1"/>
    <col min="46" max="49" width="1.625" style="4" customWidth="1"/>
    <col min="50" max="50" width="1.37890625" style="2" customWidth="1"/>
    <col min="51" max="52" width="1.625" style="2" customWidth="1"/>
    <col min="53" max="53" width="1.37890625" style="2" customWidth="1"/>
    <col min="54" max="59" width="1.625" style="2" customWidth="1"/>
    <col min="60" max="61" width="1.37890625" style="2" customWidth="1"/>
    <col min="62" max="63" width="1.625" style="2" customWidth="1"/>
    <col min="64" max="64" width="1.625" style="5" customWidth="1"/>
    <col min="65" max="65" width="4.00390625" style="6" hidden="1" customWidth="1"/>
    <col min="66" max="66" width="1.875" style="6" hidden="1" customWidth="1"/>
    <col min="67" max="67" width="13.625" style="6" hidden="1" customWidth="1"/>
    <col min="68" max="78" width="8.625" style="6" hidden="1" customWidth="1"/>
    <col min="79" max="86" width="8.625" style="4" hidden="1" customWidth="1"/>
    <col min="87" max="104" width="8.625" style="2" hidden="1" customWidth="1"/>
    <col min="105" max="105" width="30.50390625" style="2" hidden="1" customWidth="1"/>
    <col min="106" max="119" width="9.00390625" style="2" customWidth="1"/>
    <col min="120" max="120" width="4.125" style="2" customWidth="1"/>
    <col min="121" max="250" width="9.00390625" style="2" customWidth="1"/>
    <col min="251" max="16384" width="9.00390625" style="2" hidden="1" customWidth="1"/>
  </cols>
  <sheetData>
    <row r="1" spans="2:23" ht="9.75" customHeight="1">
      <c r="B1" s="194"/>
      <c r="C1" s="195"/>
      <c r="D1" s="195"/>
      <c r="E1" s="195"/>
      <c r="F1" s="195"/>
      <c r="G1" s="195"/>
      <c r="H1" s="195"/>
      <c r="I1" s="195"/>
      <c r="J1" s="195"/>
      <c r="K1" s="195"/>
      <c r="L1" s="195"/>
      <c r="M1" s="195"/>
      <c r="N1" s="195"/>
      <c r="O1" s="195"/>
      <c r="P1" s="195"/>
      <c r="Q1" s="195"/>
      <c r="R1" s="195"/>
      <c r="S1" s="195"/>
      <c r="T1" s="195"/>
      <c r="U1" s="195"/>
      <c r="V1" s="195"/>
      <c r="W1" s="195"/>
    </row>
    <row r="2" spans="1:65" ht="9.75" customHeight="1">
      <c r="A2" s="1"/>
      <c r="B2" s="195"/>
      <c r="C2" s="195"/>
      <c r="D2" s="195"/>
      <c r="E2" s="195"/>
      <c r="F2" s="195"/>
      <c r="G2" s="195"/>
      <c r="H2" s="195"/>
      <c r="I2" s="195"/>
      <c r="J2" s="195"/>
      <c r="K2" s="195"/>
      <c r="L2" s="195"/>
      <c r="M2" s="195"/>
      <c r="N2" s="195"/>
      <c r="O2" s="195"/>
      <c r="P2" s="195"/>
      <c r="Q2" s="195"/>
      <c r="R2" s="195"/>
      <c r="S2" s="195"/>
      <c r="T2" s="195"/>
      <c r="U2" s="195"/>
      <c r="V2" s="195"/>
      <c r="W2" s="195"/>
      <c r="Y2" s="9"/>
      <c r="Z2" s="3" t="s">
        <v>2</v>
      </c>
      <c r="AA2" s="1"/>
      <c r="AB2" s="1"/>
      <c r="AC2" s="1"/>
      <c r="AD2" s="1"/>
      <c r="AE2" s="1"/>
      <c r="AF2" s="9"/>
      <c r="AG2" s="3" t="s">
        <v>3</v>
      </c>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8"/>
      <c r="BM2" s="10"/>
    </row>
    <row r="3" spans="1:65" ht="13.5" customHeight="1" thickBot="1">
      <c r="A3" s="1"/>
      <c r="B3" s="7"/>
      <c r="C3" s="8"/>
      <c r="D3" s="8"/>
      <c r="E3" s="8"/>
      <c r="F3" s="8"/>
      <c r="G3" s="8"/>
      <c r="H3" s="11">
        <f>IF(OR($B$4="ｽｶｲﾊﾟｰｸﾎﾃﾙ",$B$4="穂高ﾋﾞｭｰﾎﾃﾙ",$B$4="由布院倶楽部"),1,"")</f>
      </c>
      <c r="I3" s="11">
        <f>IF($B$4="ﾙｽﾂﾘｿﾞｰﾄ",1,"")</f>
      </c>
      <c r="J3" s="7">
        <f>IF(OR($I$3=1,$H$3=1),"↓必要組数・枚数を記入","")</f>
      </c>
      <c r="K3" s="8"/>
      <c r="L3" s="8"/>
      <c r="M3" s="8"/>
      <c r="N3" s="8"/>
      <c r="O3" s="8"/>
      <c r="P3" s="8"/>
      <c r="Q3" s="8"/>
      <c r="R3" s="8"/>
      <c r="S3" s="8"/>
      <c r="T3" s="8"/>
      <c r="U3" s="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4"/>
      <c r="BJ3" s="4"/>
      <c r="BK3" s="4"/>
      <c r="BL3" s="8"/>
      <c r="BM3" s="10"/>
    </row>
    <row r="4" spans="1:65" ht="15" customHeight="1" thickBot="1">
      <c r="A4" s="1"/>
      <c r="B4" s="496"/>
      <c r="C4" s="497"/>
      <c r="D4" s="497"/>
      <c r="E4" s="497"/>
      <c r="F4" s="497"/>
      <c r="G4" s="497"/>
      <c r="H4" s="497"/>
      <c r="I4" s="498"/>
      <c r="J4" s="499"/>
      <c r="K4" s="513"/>
      <c r="L4" s="513"/>
      <c r="M4" s="209">
        <f>IF($H$3=1,"枚","")</f>
      </c>
      <c r="N4" s="230"/>
      <c r="O4" s="230"/>
      <c r="P4" s="12"/>
      <c r="Q4" s="12"/>
      <c r="R4" s="12"/>
      <c r="S4" s="12"/>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
      <c r="AX4" s="1"/>
      <c r="BC4" s="14" t="s">
        <v>33</v>
      </c>
      <c r="BD4" s="14"/>
      <c r="BE4" s="14"/>
      <c r="BF4" s="514"/>
      <c r="BG4" s="514"/>
      <c r="BH4" s="514"/>
      <c r="BI4" s="515"/>
      <c r="BJ4" s="515"/>
      <c r="BK4" s="515"/>
      <c r="BL4" s="157"/>
      <c r="BM4" s="10"/>
    </row>
    <row r="5" spans="1:65" ht="13.5" customHeight="1">
      <c r="A5" s="1"/>
      <c r="B5" s="231">
        <f>IF($B$4="ﾙｽﾂﾘｿﾞｰﾄ","ﾙｽﾂA.宿泊ﾊﾟｯｸ","")</f>
      </c>
      <c r="C5" s="232"/>
      <c r="D5" s="232"/>
      <c r="E5" s="232"/>
      <c r="F5" s="232"/>
      <c r="G5" s="232"/>
      <c r="H5" s="232"/>
      <c r="I5" s="232"/>
      <c r="J5" s="499"/>
      <c r="K5" s="513"/>
      <c r="L5" s="513"/>
      <c r="M5" s="208">
        <f>IF($I$3=1,"組","")</f>
      </c>
      <c r="N5" s="233"/>
      <c r="O5" s="23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
      <c r="AX5" s="1"/>
      <c r="BC5" s="187" t="s">
        <v>34</v>
      </c>
      <c r="BD5" s="188"/>
      <c r="BE5" s="188"/>
      <c r="BF5" s="188"/>
      <c r="BG5" s="188"/>
      <c r="BH5" s="188"/>
      <c r="BI5" s="188"/>
      <c r="BJ5" s="188"/>
      <c r="BK5" s="188"/>
      <c r="BL5" s="189"/>
      <c r="BM5" s="10"/>
    </row>
    <row r="6" spans="1:65" ht="13.5" customHeight="1">
      <c r="A6" s="1"/>
      <c r="B6" s="209">
        <f>IF($B$4="ﾙｽﾂﾘｿﾞｰﾄ","ﾙｽﾂB.宿泊券","")</f>
      </c>
      <c r="C6" s="209"/>
      <c r="D6" s="209"/>
      <c r="E6" s="209"/>
      <c r="F6" s="209"/>
      <c r="G6" s="209"/>
      <c r="H6" s="209"/>
      <c r="I6" s="209"/>
      <c r="J6" s="499"/>
      <c r="K6" s="499"/>
      <c r="L6" s="499"/>
      <c r="M6" s="208">
        <f>IF($I$3=1,"枚","")</f>
      </c>
      <c r="N6" s="208"/>
      <c r="O6" s="208"/>
      <c r="P6" s="1"/>
      <c r="Q6" s="1"/>
      <c r="R6" s="1"/>
      <c r="S6" s="1"/>
      <c r="T6" s="1"/>
      <c r="U6" s="1"/>
      <c r="V6" s="1"/>
      <c r="W6" s="1"/>
      <c r="X6" s="234" t="s">
        <v>4</v>
      </c>
      <c r="Y6" s="234"/>
      <c r="Z6" s="234"/>
      <c r="AA6" s="234"/>
      <c r="AB6" s="234"/>
      <c r="AC6" s="234"/>
      <c r="AD6" s="234"/>
      <c r="AE6" s="234"/>
      <c r="AF6" s="234"/>
      <c r="AG6" s="234"/>
      <c r="AH6" s="234"/>
      <c r="AI6" s="234"/>
      <c r="AJ6" s="234"/>
      <c r="AK6" s="234"/>
      <c r="AL6" s="234"/>
      <c r="AM6" s="234"/>
      <c r="AN6" s="234"/>
      <c r="AO6" s="1"/>
      <c r="AP6" s="1"/>
      <c r="AQ6" s="1"/>
      <c r="AR6" s="1"/>
      <c r="AS6" s="1"/>
      <c r="AT6" s="1"/>
      <c r="AU6" s="1"/>
      <c r="AV6" s="1"/>
      <c r="AW6" s="1"/>
      <c r="AX6" s="1"/>
      <c r="BC6" s="184" t="s">
        <v>5</v>
      </c>
      <c r="BD6" s="185"/>
      <c r="BE6" s="185"/>
      <c r="BF6" s="185"/>
      <c r="BG6" s="186"/>
      <c r="BH6" s="184" t="s">
        <v>6</v>
      </c>
      <c r="BI6" s="185"/>
      <c r="BJ6" s="185"/>
      <c r="BK6" s="185"/>
      <c r="BL6" s="186"/>
      <c r="BM6" s="10"/>
    </row>
    <row r="7" spans="1:65" ht="13.5" customHeight="1">
      <c r="A7" s="1"/>
      <c r="B7" s="209">
        <f>IF($B$4="ﾙｽﾂﾘｿﾞｰﾄ","ﾙｽﾂC.割引券","")</f>
      </c>
      <c r="C7" s="209"/>
      <c r="D7" s="209"/>
      <c r="E7" s="209"/>
      <c r="F7" s="209"/>
      <c r="G7" s="209"/>
      <c r="H7" s="209"/>
      <c r="I7" s="209"/>
      <c r="J7" s="499"/>
      <c r="K7" s="499"/>
      <c r="L7" s="499"/>
      <c r="M7" s="208">
        <f>IF($I$3=1,"枚","")</f>
      </c>
      <c r="N7" s="208"/>
      <c r="O7" s="208"/>
      <c r="P7" s="1"/>
      <c r="Q7" s="1"/>
      <c r="R7" s="1"/>
      <c r="S7" s="1"/>
      <c r="T7" s="1"/>
      <c r="U7" s="1"/>
      <c r="V7" s="1"/>
      <c r="W7" s="1"/>
      <c r="X7" s="234"/>
      <c r="Y7" s="234"/>
      <c r="Z7" s="234"/>
      <c r="AA7" s="234"/>
      <c r="AB7" s="234"/>
      <c r="AC7" s="234"/>
      <c r="AD7" s="234"/>
      <c r="AE7" s="234"/>
      <c r="AF7" s="234"/>
      <c r="AG7" s="234"/>
      <c r="AH7" s="234"/>
      <c r="AI7" s="234"/>
      <c r="AJ7" s="234"/>
      <c r="AK7" s="234"/>
      <c r="AL7" s="234"/>
      <c r="AM7" s="234"/>
      <c r="AN7" s="234"/>
      <c r="AO7" s="1"/>
      <c r="AP7" s="1"/>
      <c r="AQ7" s="1"/>
      <c r="AR7" s="1"/>
      <c r="AS7" s="1"/>
      <c r="AT7" s="1"/>
      <c r="AU7" s="1"/>
      <c r="AV7" s="1"/>
      <c r="AW7" s="1"/>
      <c r="AX7" s="1"/>
      <c r="BC7" s="17"/>
      <c r="BD7" s="18"/>
      <c r="BE7" s="18"/>
      <c r="BF7" s="8"/>
      <c r="BG7" s="19"/>
      <c r="BH7" s="8"/>
      <c r="BI7" s="8"/>
      <c r="BJ7" s="18"/>
      <c r="BK7" s="18"/>
      <c r="BL7" s="20"/>
      <c r="BM7" s="10"/>
    </row>
    <row r="8" spans="1:65" ht="13.5" customHeight="1">
      <c r="A8" s="1"/>
      <c r="B8" s="209">
        <f>IF($B$4="ﾙｽﾂﾘｿﾞｰﾄ","ﾙｽﾂD.ﾎﾟｲﾝﾄ券","")</f>
      </c>
      <c r="C8" s="209"/>
      <c r="D8" s="209"/>
      <c r="E8" s="209"/>
      <c r="F8" s="209"/>
      <c r="G8" s="209"/>
      <c r="H8" s="209"/>
      <c r="I8" s="209"/>
      <c r="J8" s="499"/>
      <c r="K8" s="499"/>
      <c r="L8" s="499"/>
      <c r="M8" s="208">
        <f>IF($I$3=1,"枚","")</f>
      </c>
      <c r="N8" s="208"/>
      <c r="O8" s="208"/>
      <c r="P8" s="1"/>
      <c r="Q8" s="1"/>
      <c r="R8" s="1"/>
      <c r="S8" s="1"/>
      <c r="T8" s="1"/>
      <c r="U8" s="1"/>
      <c r="V8" s="1"/>
      <c r="W8" s="1"/>
      <c r="X8" s="1"/>
      <c r="Y8" s="1"/>
      <c r="Z8" s="442" t="s">
        <v>115</v>
      </c>
      <c r="AA8" s="442"/>
      <c r="AB8" s="442"/>
      <c r="AC8" s="442"/>
      <c r="AD8" s="442"/>
      <c r="AE8" s="442"/>
      <c r="AF8" s="442"/>
      <c r="AG8" s="442"/>
      <c r="AH8" s="442"/>
      <c r="AI8" s="442"/>
      <c r="AJ8" s="442"/>
      <c r="AK8" s="442"/>
      <c r="AL8" s="442"/>
      <c r="AM8" s="1"/>
      <c r="AN8" s="1"/>
      <c r="AO8" s="1"/>
      <c r="AP8" s="1"/>
      <c r="AQ8" s="1"/>
      <c r="AR8" s="1"/>
      <c r="AS8" s="1"/>
      <c r="AT8" s="1"/>
      <c r="AU8" s="1"/>
      <c r="AV8" s="1"/>
      <c r="AW8" s="1"/>
      <c r="AX8" s="1"/>
      <c r="BC8" s="17"/>
      <c r="BD8" s="18"/>
      <c r="BE8" s="18"/>
      <c r="BF8" s="8"/>
      <c r="BG8" s="19"/>
      <c r="BH8" s="8"/>
      <c r="BI8" s="8"/>
      <c r="BJ8" s="18"/>
      <c r="BK8" s="18"/>
      <c r="BL8" s="20"/>
      <c r="BM8" s="10"/>
    </row>
    <row r="9" spans="1:65" ht="13.5" customHeight="1">
      <c r="A9" s="1"/>
      <c r="B9" s="1"/>
      <c r="C9" s="1"/>
      <c r="D9" s="1"/>
      <c r="E9" s="1"/>
      <c r="F9" s="1"/>
      <c r="G9" s="1"/>
      <c r="H9" s="1"/>
      <c r="I9" s="1"/>
      <c r="J9" s="1"/>
      <c r="K9" s="1"/>
      <c r="L9" s="1"/>
      <c r="M9" s="1"/>
      <c r="N9" s="1"/>
      <c r="O9" s="1"/>
      <c r="P9" s="1"/>
      <c r="Q9" s="1"/>
      <c r="R9" s="1"/>
      <c r="S9" s="1"/>
      <c r="T9" s="1"/>
      <c r="U9" s="1"/>
      <c r="V9" s="1"/>
      <c r="W9" s="1"/>
      <c r="X9" s="1"/>
      <c r="Y9" s="1"/>
      <c r="Z9" s="442"/>
      <c r="AA9" s="442"/>
      <c r="AB9" s="442"/>
      <c r="AC9" s="442"/>
      <c r="AD9" s="442"/>
      <c r="AE9" s="442"/>
      <c r="AF9" s="442"/>
      <c r="AG9" s="442"/>
      <c r="AH9" s="442"/>
      <c r="AI9" s="442"/>
      <c r="AJ9" s="442"/>
      <c r="AK9" s="442"/>
      <c r="AL9" s="442"/>
      <c r="AM9" s="1"/>
      <c r="AN9" s="1"/>
      <c r="AO9" s="1"/>
      <c r="AP9" s="1"/>
      <c r="AQ9" s="1"/>
      <c r="AR9" s="1"/>
      <c r="AS9" s="1"/>
      <c r="AT9" s="1"/>
      <c r="AU9" s="1"/>
      <c r="AV9" s="1"/>
      <c r="AW9" s="1"/>
      <c r="AX9" s="1"/>
      <c r="BC9" s="17"/>
      <c r="BD9" s="18"/>
      <c r="BE9" s="18"/>
      <c r="BF9" s="8"/>
      <c r="BG9" s="19"/>
      <c r="BH9" s="8"/>
      <c r="BI9" s="8"/>
      <c r="BJ9" s="18"/>
      <c r="BK9" s="18"/>
      <c r="BL9" s="20"/>
      <c r="BM9" s="10"/>
    </row>
    <row r="10" spans="1:65" ht="9.7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BC10" s="21"/>
      <c r="BD10" s="22"/>
      <c r="BE10" s="22"/>
      <c r="BF10" s="23"/>
      <c r="BG10" s="24"/>
      <c r="BH10" s="23"/>
      <c r="BI10" s="23"/>
      <c r="BJ10" s="22"/>
      <c r="BK10" s="22"/>
      <c r="BL10" s="25"/>
      <c r="BM10" s="10"/>
    </row>
    <row r="11" spans="1:65" ht="7.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8"/>
      <c r="BM11" s="10"/>
    </row>
    <row r="12" spans="1:65" ht="9" customHeight="1">
      <c r="A12" s="8"/>
      <c r="B12" s="202" t="s">
        <v>7</v>
      </c>
      <c r="C12" s="203"/>
      <c r="D12" s="242" t="s">
        <v>101</v>
      </c>
      <c r="E12" s="243"/>
      <c r="F12" s="243"/>
      <c r="G12" s="243"/>
      <c r="H12" s="243"/>
      <c r="I12" s="243"/>
      <c r="J12" s="243"/>
      <c r="K12" s="243"/>
      <c r="L12" s="243"/>
      <c r="M12" s="243"/>
      <c r="N12" s="244"/>
      <c r="O12" s="196" t="s">
        <v>102</v>
      </c>
      <c r="P12" s="197"/>
      <c r="Q12" s="197"/>
      <c r="R12" s="197"/>
      <c r="S12" s="197"/>
      <c r="T12" s="197"/>
      <c r="U12" s="197"/>
      <c r="V12" s="197"/>
      <c r="W12" s="197"/>
      <c r="X12" s="197"/>
      <c r="Y12" s="197"/>
      <c r="Z12" s="197"/>
      <c r="AA12" s="197"/>
      <c r="AB12" s="197"/>
      <c r="AC12" s="197"/>
      <c r="AD12" s="197"/>
      <c r="AE12" s="197"/>
      <c r="AF12" s="197"/>
      <c r="AG12" s="198"/>
      <c r="AH12" s="202" t="s">
        <v>8</v>
      </c>
      <c r="AI12" s="203"/>
      <c r="AJ12" s="255" t="s">
        <v>9</v>
      </c>
      <c r="AK12" s="252"/>
      <c r="AL12" s="252"/>
      <c r="AM12" s="449">
        <f>PHONETIC(AJ14)</f>
      </c>
      <c r="AN12" s="450"/>
      <c r="AO12" s="450"/>
      <c r="AP12" s="450"/>
      <c r="AQ12" s="450"/>
      <c r="AR12" s="450"/>
      <c r="AS12" s="450"/>
      <c r="AT12" s="450"/>
      <c r="AU12" s="450"/>
      <c r="AV12" s="450"/>
      <c r="AW12" s="450"/>
      <c r="AX12" s="451"/>
      <c r="AY12" s="451"/>
      <c r="AZ12" s="451"/>
      <c r="BA12" s="451"/>
      <c r="BB12" s="451"/>
      <c r="BC12" s="451"/>
      <c r="BD12" s="451"/>
      <c r="BE12" s="451"/>
      <c r="BF12" s="451"/>
      <c r="BG12" s="451"/>
      <c r="BH12" s="451"/>
      <c r="BI12" s="451"/>
      <c r="BJ12" s="451"/>
      <c r="BK12" s="451"/>
      <c r="BL12" s="452"/>
      <c r="BM12" s="10"/>
    </row>
    <row r="13" spans="1:65" ht="9" customHeight="1">
      <c r="A13" s="8"/>
      <c r="B13" s="204"/>
      <c r="C13" s="205"/>
      <c r="D13" s="245"/>
      <c r="E13" s="246"/>
      <c r="F13" s="246"/>
      <c r="G13" s="246"/>
      <c r="H13" s="246"/>
      <c r="I13" s="246"/>
      <c r="J13" s="246"/>
      <c r="K13" s="246"/>
      <c r="L13" s="246"/>
      <c r="M13" s="246"/>
      <c r="N13" s="247"/>
      <c r="O13" s="199"/>
      <c r="P13" s="200"/>
      <c r="Q13" s="200"/>
      <c r="R13" s="200"/>
      <c r="S13" s="200"/>
      <c r="T13" s="200"/>
      <c r="U13" s="200"/>
      <c r="V13" s="200"/>
      <c r="W13" s="200"/>
      <c r="X13" s="200"/>
      <c r="Y13" s="200"/>
      <c r="Z13" s="200"/>
      <c r="AA13" s="200"/>
      <c r="AB13" s="200"/>
      <c r="AC13" s="200"/>
      <c r="AD13" s="200"/>
      <c r="AE13" s="200"/>
      <c r="AF13" s="200"/>
      <c r="AG13" s="201"/>
      <c r="AH13" s="204"/>
      <c r="AI13" s="205"/>
      <c r="AJ13" s="256"/>
      <c r="AK13" s="254"/>
      <c r="AL13" s="254"/>
      <c r="AM13" s="453"/>
      <c r="AN13" s="454"/>
      <c r="AO13" s="454"/>
      <c r="AP13" s="454"/>
      <c r="AQ13" s="454"/>
      <c r="AR13" s="454"/>
      <c r="AS13" s="454"/>
      <c r="AT13" s="454"/>
      <c r="AU13" s="454"/>
      <c r="AV13" s="454"/>
      <c r="AW13" s="454"/>
      <c r="AX13" s="455"/>
      <c r="AY13" s="455"/>
      <c r="AZ13" s="455"/>
      <c r="BA13" s="455"/>
      <c r="BB13" s="455"/>
      <c r="BC13" s="455"/>
      <c r="BD13" s="455"/>
      <c r="BE13" s="455"/>
      <c r="BF13" s="455"/>
      <c r="BG13" s="455"/>
      <c r="BH13" s="455"/>
      <c r="BI13" s="455"/>
      <c r="BJ13" s="455"/>
      <c r="BK13" s="455"/>
      <c r="BL13" s="456"/>
      <c r="BM13" s="10"/>
    </row>
    <row r="14" spans="1:65" ht="9" customHeight="1">
      <c r="A14" s="8"/>
      <c r="B14" s="204"/>
      <c r="C14" s="205"/>
      <c r="D14" s="245"/>
      <c r="E14" s="246"/>
      <c r="F14" s="246"/>
      <c r="G14" s="246"/>
      <c r="H14" s="246"/>
      <c r="I14" s="246"/>
      <c r="J14" s="246"/>
      <c r="K14" s="246"/>
      <c r="L14" s="246"/>
      <c r="M14" s="246"/>
      <c r="N14" s="247"/>
      <c r="O14" s="436"/>
      <c r="P14" s="437"/>
      <c r="Q14" s="437"/>
      <c r="R14" s="437"/>
      <c r="S14" s="437"/>
      <c r="T14" s="437"/>
      <c r="U14" s="437"/>
      <c r="V14" s="437"/>
      <c r="W14" s="437"/>
      <c r="X14" s="437"/>
      <c r="Y14" s="437"/>
      <c r="Z14" s="437"/>
      <c r="AA14" s="437"/>
      <c r="AB14" s="437"/>
      <c r="AC14" s="437"/>
      <c r="AD14" s="437"/>
      <c r="AE14" s="437"/>
      <c r="AF14" s="437"/>
      <c r="AG14" s="438"/>
      <c r="AH14" s="204"/>
      <c r="AI14" s="205"/>
      <c r="AJ14" s="443"/>
      <c r="AK14" s="444"/>
      <c r="AL14" s="444"/>
      <c r="AM14" s="444"/>
      <c r="AN14" s="444"/>
      <c r="AO14" s="444"/>
      <c r="AP14" s="444"/>
      <c r="AQ14" s="444"/>
      <c r="AR14" s="444"/>
      <c r="AS14" s="444"/>
      <c r="AT14" s="444"/>
      <c r="AU14" s="444"/>
      <c r="AV14" s="444"/>
      <c r="AW14" s="444"/>
      <c r="AX14" s="251"/>
      <c r="AY14" s="252"/>
      <c r="AZ14" s="252"/>
      <c r="BA14" s="252"/>
      <c r="BB14" s="27"/>
      <c r="BC14" s="27"/>
      <c r="BD14" s="28"/>
      <c r="BE14" s="27"/>
      <c r="BF14" s="29"/>
      <c r="BG14" s="29"/>
      <c r="BH14" s="28"/>
      <c r="BI14" s="28"/>
      <c r="BJ14" s="28"/>
      <c r="BK14" s="28"/>
      <c r="BL14" s="30"/>
      <c r="BM14" s="10"/>
    </row>
    <row r="15" spans="1:65" ht="9" customHeight="1">
      <c r="A15" s="8"/>
      <c r="B15" s="204"/>
      <c r="C15" s="205"/>
      <c r="D15" s="245"/>
      <c r="E15" s="246"/>
      <c r="F15" s="246"/>
      <c r="G15" s="246"/>
      <c r="H15" s="246"/>
      <c r="I15" s="246"/>
      <c r="J15" s="246"/>
      <c r="K15" s="246"/>
      <c r="L15" s="246"/>
      <c r="M15" s="246"/>
      <c r="N15" s="247"/>
      <c r="O15" s="436"/>
      <c r="P15" s="437"/>
      <c r="Q15" s="437"/>
      <c r="R15" s="437"/>
      <c r="S15" s="437"/>
      <c r="T15" s="437"/>
      <c r="U15" s="437"/>
      <c r="V15" s="437"/>
      <c r="W15" s="437"/>
      <c r="X15" s="437"/>
      <c r="Y15" s="437"/>
      <c r="Z15" s="437"/>
      <c r="AA15" s="437"/>
      <c r="AB15" s="437"/>
      <c r="AC15" s="437"/>
      <c r="AD15" s="437"/>
      <c r="AE15" s="437"/>
      <c r="AF15" s="437"/>
      <c r="AG15" s="438"/>
      <c r="AH15" s="204"/>
      <c r="AI15" s="205"/>
      <c r="AJ15" s="445"/>
      <c r="AK15" s="446"/>
      <c r="AL15" s="446"/>
      <c r="AM15" s="446"/>
      <c r="AN15" s="446"/>
      <c r="AO15" s="446"/>
      <c r="AP15" s="446"/>
      <c r="AQ15" s="446"/>
      <c r="AR15" s="446"/>
      <c r="AS15" s="446"/>
      <c r="AT15" s="446"/>
      <c r="AU15" s="446"/>
      <c r="AV15" s="446"/>
      <c r="AW15" s="446"/>
      <c r="AX15" s="253"/>
      <c r="AY15" s="253"/>
      <c r="AZ15" s="253"/>
      <c r="BA15" s="253"/>
      <c r="BB15" s="27"/>
      <c r="BC15" s="27"/>
      <c r="BD15" s="28"/>
      <c r="BE15" s="27"/>
      <c r="BF15" s="29"/>
      <c r="BG15" s="29"/>
      <c r="BH15" s="28"/>
      <c r="BI15" s="28"/>
      <c r="BJ15" s="28"/>
      <c r="BK15" s="28"/>
      <c r="BL15" s="30"/>
      <c r="BM15" s="10"/>
    </row>
    <row r="16" spans="1:65" ht="9" customHeight="1">
      <c r="A16" s="8"/>
      <c r="B16" s="204"/>
      <c r="C16" s="205"/>
      <c r="D16" s="248"/>
      <c r="E16" s="249"/>
      <c r="F16" s="249"/>
      <c r="G16" s="249"/>
      <c r="H16" s="249"/>
      <c r="I16" s="249"/>
      <c r="J16" s="249"/>
      <c r="K16" s="249"/>
      <c r="L16" s="249"/>
      <c r="M16" s="249"/>
      <c r="N16" s="250"/>
      <c r="O16" s="439"/>
      <c r="P16" s="440"/>
      <c r="Q16" s="440"/>
      <c r="R16" s="440"/>
      <c r="S16" s="440"/>
      <c r="T16" s="440"/>
      <c r="U16" s="440"/>
      <c r="V16" s="440"/>
      <c r="W16" s="440"/>
      <c r="X16" s="440"/>
      <c r="Y16" s="440"/>
      <c r="Z16" s="440"/>
      <c r="AA16" s="440"/>
      <c r="AB16" s="440"/>
      <c r="AC16" s="440"/>
      <c r="AD16" s="440"/>
      <c r="AE16" s="440"/>
      <c r="AF16" s="440"/>
      <c r="AG16" s="441"/>
      <c r="AH16" s="204"/>
      <c r="AI16" s="205"/>
      <c r="AJ16" s="447"/>
      <c r="AK16" s="448"/>
      <c r="AL16" s="448"/>
      <c r="AM16" s="448"/>
      <c r="AN16" s="448"/>
      <c r="AO16" s="448"/>
      <c r="AP16" s="448"/>
      <c r="AQ16" s="448"/>
      <c r="AR16" s="448"/>
      <c r="AS16" s="448"/>
      <c r="AT16" s="448"/>
      <c r="AU16" s="448"/>
      <c r="AV16" s="448"/>
      <c r="AW16" s="448"/>
      <c r="AX16" s="254"/>
      <c r="AY16" s="254"/>
      <c r="AZ16" s="254"/>
      <c r="BA16" s="254"/>
      <c r="BB16" s="26"/>
      <c r="BC16" s="26"/>
      <c r="BD16" s="31"/>
      <c r="BE16" s="32"/>
      <c r="BF16" s="32"/>
      <c r="BG16" s="32"/>
      <c r="BH16" s="33"/>
      <c r="BI16" s="33"/>
      <c r="BJ16" s="33"/>
      <c r="BK16" s="33"/>
      <c r="BL16" s="34"/>
      <c r="BM16" s="10"/>
    </row>
    <row r="17" spans="1:65" ht="3.75" customHeight="1">
      <c r="A17" s="8"/>
      <c r="B17" s="202" t="s">
        <v>10</v>
      </c>
      <c r="C17" s="203"/>
      <c r="D17" s="35"/>
      <c r="E17" s="36"/>
      <c r="F17" s="37"/>
      <c r="G17" s="38"/>
      <c r="H17" s="38"/>
      <c r="I17" s="37"/>
      <c r="J17" s="37"/>
      <c r="K17" s="16"/>
      <c r="L17" s="16"/>
      <c r="M17" s="37"/>
      <c r="N17" s="37"/>
      <c r="O17" s="37"/>
      <c r="P17" s="16"/>
      <c r="Q17" s="16"/>
      <c r="R17" s="16"/>
      <c r="S17" s="16"/>
      <c r="T17" s="16"/>
      <c r="U17" s="37"/>
      <c r="V17" s="37"/>
      <c r="W17" s="37"/>
      <c r="X17" s="37"/>
      <c r="Y17" s="16"/>
      <c r="Z17" s="16"/>
      <c r="AA17" s="37"/>
      <c r="AB17" s="39"/>
      <c r="AC17" s="39"/>
      <c r="AD17" s="40"/>
      <c r="AE17" s="39"/>
      <c r="AF17" s="39"/>
      <c r="AG17" s="41"/>
      <c r="AH17" s="41"/>
      <c r="AI17" s="41"/>
      <c r="AJ17" s="41"/>
      <c r="AK17" s="42"/>
      <c r="AL17" s="202" t="s">
        <v>11</v>
      </c>
      <c r="AM17" s="203"/>
      <c r="AN17" s="298" t="s">
        <v>54</v>
      </c>
      <c r="AO17" s="299"/>
      <c r="AP17" s="299"/>
      <c r="AQ17" s="299"/>
      <c r="AR17" s="299"/>
      <c r="AS17" s="299"/>
      <c r="AT17" s="299"/>
      <c r="AU17" s="299"/>
      <c r="AV17" s="198"/>
      <c r="AW17" s="302" t="s">
        <v>12</v>
      </c>
      <c r="AX17" s="203"/>
      <c r="AY17" s="295" t="s">
        <v>103</v>
      </c>
      <c r="AZ17" s="197"/>
      <c r="BA17" s="197"/>
      <c r="BB17" s="492"/>
      <c r="BC17" s="493"/>
      <c r="BD17" s="493"/>
      <c r="BE17" s="493"/>
      <c r="BF17" s="493"/>
      <c r="BG17" s="493"/>
      <c r="BH17" s="493"/>
      <c r="BI17" s="493"/>
      <c r="BJ17" s="493"/>
      <c r="BK17" s="493"/>
      <c r="BL17" s="494"/>
      <c r="BM17" s="10"/>
    </row>
    <row r="18" spans="1:65" ht="9.75" customHeight="1">
      <c r="A18" s="8"/>
      <c r="B18" s="204"/>
      <c r="C18" s="205"/>
      <c r="D18" s="500"/>
      <c r="E18" s="501"/>
      <c r="F18" s="502"/>
      <c r="G18" s="502"/>
      <c r="H18" s="502"/>
      <c r="I18" s="502"/>
      <c r="J18" s="18"/>
      <c r="K18" s="238">
        <f>IF(D18="","",D18)</f>
      </c>
      <c r="L18" s="238"/>
      <c r="M18" s="18"/>
      <c r="N18" s="18"/>
      <c r="O18" s="18"/>
      <c r="P18" s="461"/>
      <c r="Q18" s="461"/>
      <c r="R18" s="461"/>
      <c r="S18" s="461"/>
      <c r="T18" s="461"/>
      <c r="U18" s="18"/>
      <c r="V18" s="18"/>
      <c r="W18" s="18"/>
      <c r="X18" s="18"/>
      <c r="Y18" s="463"/>
      <c r="Z18" s="463"/>
      <c r="AA18" s="18"/>
      <c r="AB18" s="43"/>
      <c r="AC18" s="43"/>
      <c r="AD18" s="44"/>
      <c r="AE18" s="43"/>
      <c r="AF18" s="43"/>
      <c r="AG18" s="45"/>
      <c r="AH18" s="45"/>
      <c r="AI18" s="45"/>
      <c r="AJ18" s="45"/>
      <c r="AK18" s="46"/>
      <c r="AL18" s="204"/>
      <c r="AM18" s="205"/>
      <c r="AN18" s="300"/>
      <c r="AO18" s="301"/>
      <c r="AP18" s="301"/>
      <c r="AQ18" s="301"/>
      <c r="AR18" s="301"/>
      <c r="AS18" s="301"/>
      <c r="AT18" s="301"/>
      <c r="AU18" s="301"/>
      <c r="AV18" s="201"/>
      <c r="AW18" s="303"/>
      <c r="AX18" s="205"/>
      <c r="AY18" s="199"/>
      <c r="AZ18" s="296"/>
      <c r="BA18" s="296"/>
      <c r="BB18" s="488"/>
      <c r="BC18" s="495"/>
      <c r="BD18" s="495"/>
      <c r="BE18" s="495"/>
      <c r="BF18" s="495"/>
      <c r="BG18" s="495"/>
      <c r="BH18" s="495"/>
      <c r="BI18" s="495"/>
      <c r="BJ18" s="495"/>
      <c r="BK18" s="495"/>
      <c r="BL18" s="487"/>
      <c r="BM18" s="10">
        <f>MONTH(D18)</f>
        <v>1</v>
      </c>
    </row>
    <row r="19" spans="1:70" ht="13.5" customHeight="1">
      <c r="A19" s="8"/>
      <c r="B19" s="204"/>
      <c r="C19" s="205"/>
      <c r="D19" s="503"/>
      <c r="E19" s="504"/>
      <c r="F19" s="505"/>
      <c r="G19" s="505"/>
      <c r="H19" s="505"/>
      <c r="I19" s="505"/>
      <c r="J19" s="47" t="s">
        <v>43</v>
      </c>
      <c r="K19" s="239"/>
      <c r="L19" s="239"/>
      <c r="M19" s="47" t="s">
        <v>14</v>
      </c>
      <c r="N19" s="47"/>
      <c r="O19" s="47"/>
      <c r="P19" s="462"/>
      <c r="Q19" s="462"/>
      <c r="R19" s="462"/>
      <c r="S19" s="462"/>
      <c r="T19" s="462"/>
      <c r="U19" s="48" t="s">
        <v>15</v>
      </c>
      <c r="V19" s="47"/>
      <c r="W19" s="47"/>
      <c r="X19" s="47"/>
      <c r="Y19" s="464"/>
      <c r="Z19" s="464"/>
      <c r="AA19" s="47" t="s">
        <v>16</v>
      </c>
      <c r="AB19" s="49"/>
      <c r="AC19" s="49"/>
      <c r="AD19" s="47" t="s">
        <v>79</v>
      </c>
      <c r="AE19" s="49"/>
      <c r="AF19" s="49"/>
      <c r="AG19" s="47"/>
      <c r="AH19" s="47"/>
      <c r="AI19" s="47"/>
      <c r="AJ19" s="47"/>
      <c r="AK19" s="50"/>
      <c r="AL19" s="204"/>
      <c r="AM19" s="205"/>
      <c r="AN19" s="300"/>
      <c r="AO19" s="301"/>
      <c r="AP19" s="301"/>
      <c r="AQ19" s="301"/>
      <c r="AR19" s="301"/>
      <c r="AS19" s="301"/>
      <c r="AT19" s="301"/>
      <c r="AU19" s="301"/>
      <c r="AV19" s="201"/>
      <c r="AW19" s="303"/>
      <c r="AX19" s="205"/>
      <c r="AY19" s="297"/>
      <c r="AZ19" s="236"/>
      <c r="BA19" s="236"/>
      <c r="BB19" s="489"/>
      <c r="BC19" s="490"/>
      <c r="BD19" s="490"/>
      <c r="BE19" s="490"/>
      <c r="BF19" s="490"/>
      <c r="BG19" s="490"/>
      <c r="BH19" s="490"/>
      <c r="BI19" s="490"/>
      <c r="BJ19" s="490"/>
      <c r="BK19" s="490"/>
      <c r="BL19" s="491"/>
      <c r="BM19" s="10"/>
      <c r="BR19" s="51"/>
    </row>
    <row r="20" spans="1:65" ht="3.75" customHeight="1">
      <c r="A20" s="8"/>
      <c r="B20" s="204"/>
      <c r="C20" s="205"/>
      <c r="D20" s="35"/>
      <c r="E20" s="36"/>
      <c r="F20" s="37"/>
      <c r="G20" s="36"/>
      <c r="H20" s="36"/>
      <c r="I20" s="52"/>
      <c r="J20" s="37"/>
      <c r="K20" s="16"/>
      <c r="L20" s="16"/>
      <c r="M20" s="37"/>
      <c r="N20" s="37"/>
      <c r="O20" s="37"/>
      <c r="P20" s="53" t="s">
        <v>35</v>
      </c>
      <c r="Q20" s="53"/>
      <c r="R20" s="53"/>
      <c r="S20" s="53"/>
      <c r="T20" s="53"/>
      <c r="U20" s="37"/>
      <c r="V20" s="37"/>
      <c r="W20" s="37"/>
      <c r="X20" s="37"/>
      <c r="Y20" s="38"/>
      <c r="Z20" s="38"/>
      <c r="AA20" s="37"/>
      <c r="AB20" s="39"/>
      <c r="AC20" s="39"/>
      <c r="AD20" s="54"/>
      <c r="AE20" s="39"/>
      <c r="AF20" s="39"/>
      <c r="AG20" s="37"/>
      <c r="AH20" s="37"/>
      <c r="AI20" s="37"/>
      <c r="AJ20" s="18"/>
      <c r="AK20" s="20"/>
      <c r="AL20" s="204"/>
      <c r="AM20" s="205"/>
      <c r="AN20" s="45"/>
      <c r="AO20" s="45"/>
      <c r="AP20" s="45"/>
      <c r="AQ20" s="45"/>
      <c r="AR20" s="45"/>
      <c r="AS20" s="45"/>
      <c r="AT20" s="8"/>
      <c r="AU20" s="8"/>
      <c r="AV20" s="8"/>
      <c r="AW20" s="204"/>
      <c r="AX20" s="205"/>
      <c r="AY20" s="319" t="s">
        <v>104</v>
      </c>
      <c r="AZ20" s="320"/>
      <c r="BA20" s="320"/>
      <c r="BB20" s="485"/>
      <c r="BC20" s="486"/>
      <c r="BD20" s="486"/>
      <c r="BE20" s="486"/>
      <c r="BF20" s="486"/>
      <c r="BG20" s="486"/>
      <c r="BH20" s="486"/>
      <c r="BI20" s="486"/>
      <c r="BJ20" s="486"/>
      <c r="BK20" s="486"/>
      <c r="BL20" s="487"/>
      <c r="BM20" s="10"/>
    </row>
    <row r="21" spans="1:104" ht="9.75" customHeight="1">
      <c r="A21" s="8"/>
      <c r="B21" s="204"/>
      <c r="C21" s="205"/>
      <c r="D21" s="305">
        <f>IF(D18="","",D18+P18)</f>
      </c>
      <c r="E21" s="306"/>
      <c r="F21" s="307"/>
      <c r="G21" s="307"/>
      <c r="H21" s="307"/>
      <c r="I21" s="307"/>
      <c r="J21" s="18"/>
      <c r="K21" s="238">
        <f>D21</f>
      </c>
      <c r="L21" s="238"/>
      <c r="M21" s="18"/>
      <c r="N21" s="18"/>
      <c r="O21" s="18"/>
      <c r="P21" s="55"/>
      <c r="Q21" s="55"/>
      <c r="R21" s="55"/>
      <c r="S21" s="55"/>
      <c r="T21" s="55"/>
      <c r="U21" s="18"/>
      <c r="V21" s="18"/>
      <c r="W21" s="18"/>
      <c r="X21" s="18"/>
      <c r="Y21" s="463"/>
      <c r="Z21" s="463"/>
      <c r="AA21" s="18"/>
      <c r="AB21" s="43"/>
      <c r="AC21" s="43"/>
      <c r="AD21" s="44"/>
      <c r="AE21" s="43"/>
      <c r="AF21" s="43"/>
      <c r="AG21" s="45"/>
      <c r="AH21" s="45"/>
      <c r="AI21" s="45"/>
      <c r="AJ21" s="45"/>
      <c r="AK21" s="46"/>
      <c r="AL21" s="204"/>
      <c r="AM21" s="205"/>
      <c r="AN21" s="45"/>
      <c r="AO21" s="45"/>
      <c r="AP21" s="45"/>
      <c r="AQ21" s="45"/>
      <c r="AR21" s="45"/>
      <c r="AS21" s="45"/>
      <c r="AT21" s="8"/>
      <c r="AU21" s="8"/>
      <c r="AV21" s="8"/>
      <c r="AW21" s="204"/>
      <c r="AX21" s="205"/>
      <c r="AY21" s="319"/>
      <c r="AZ21" s="320"/>
      <c r="BA21" s="320"/>
      <c r="BB21" s="488"/>
      <c r="BC21" s="486"/>
      <c r="BD21" s="486"/>
      <c r="BE21" s="486"/>
      <c r="BF21" s="486"/>
      <c r="BG21" s="486"/>
      <c r="BH21" s="486"/>
      <c r="BI21" s="486"/>
      <c r="BJ21" s="486"/>
      <c r="BK21" s="486"/>
      <c r="BL21" s="487"/>
      <c r="BM21" s="10"/>
      <c r="CI21" s="56"/>
      <c r="CJ21" s="56"/>
      <c r="CK21" s="56"/>
      <c r="CL21" s="56"/>
      <c r="CM21" s="56"/>
      <c r="CN21" s="56"/>
      <c r="CO21" s="56"/>
      <c r="CP21" s="56"/>
      <c r="CQ21" s="56"/>
      <c r="CR21" s="56"/>
      <c r="CS21" s="56"/>
      <c r="CT21" s="56"/>
      <c r="CU21" s="56"/>
      <c r="CV21" s="56"/>
      <c r="CW21" s="56"/>
      <c r="CX21" s="56"/>
      <c r="CY21" s="56"/>
      <c r="CZ21" s="56"/>
    </row>
    <row r="22" spans="1:86" ht="13.5" customHeight="1">
      <c r="A22" s="8"/>
      <c r="B22" s="206"/>
      <c r="C22" s="207"/>
      <c r="D22" s="308"/>
      <c r="E22" s="309"/>
      <c r="F22" s="310"/>
      <c r="G22" s="310"/>
      <c r="H22" s="310"/>
      <c r="I22" s="310"/>
      <c r="J22" s="47" t="s">
        <v>43</v>
      </c>
      <c r="K22" s="239"/>
      <c r="L22" s="239"/>
      <c r="M22" s="47" t="s">
        <v>17</v>
      </c>
      <c r="N22" s="47"/>
      <c r="O22" s="47"/>
      <c r="P22" s="57"/>
      <c r="Q22" s="57"/>
      <c r="R22" s="57"/>
      <c r="S22" s="57"/>
      <c r="T22" s="57"/>
      <c r="U22" s="47" t="s">
        <v>36</v>
      </c>
      <c r="V22" s="47"/>
      <c r="W22" s="47"/>
      <c r="X22" s="47"/>
      <c r="Y22" s="464"/>
      <c r="Z22" s="464"/>
      <c r="AA22" s="47" t="s">
        <v>18</v>
      </c>
      <c r="AB22" s="49"/>
      <c r="AC22" s="49"/>
      <c r="AD22" s="47" t="s">
        <v>19</v>
      </c>
      <c r="AE22" s="49"/>
      <c r="AF22" s="49"/>
      <c r="AG22" s="47"/>
      <c r="AH22" s="47"/>
      <c r="AI22" s="47"/>
      <c r="AJ22" s="47"/>
      <c r="AK22" s="50"/>
      <c r="AL22" s="206"/>
      <c r="AM22" s="207"/>
      <c r="AN22" s="58"/>
      <c r="AO22" s="58"/>
      <c r="AP22" s="58"/>
      <c r="AQ22" s="58"/>
      <c r="AR22" s="58"/>
      <c r="AS22" s="58"/>
      <c r="AT22" s="23"/>
      <c r="AU22" s="23"/>
      <c r="AV22" s="23"/>
      <c r="AW22" s="206"/>
      <c r="AX22" s="207"/>
      <c r="AY22" s="322"/>
      <c r="AZ22" s="323"/>
      <c r="BA22" s="323"/>
      <c r="BB22" s="489"/>
      <c r="BC22" s="490"/>
      <c r="BD22" s="490"/>
      <c r="BE22" s="490"/>
      <c r="BF22" s="490"/>
      <c r="BG22" s="490"/>
      <c r="BH22" s="490"/>
      <c r="BI22" s="490"/>
      <c r="BJ22" s="490"/>
      <c r="BK22" s="490"/>
      <c r="BL22" s="491"/>
      <c r="BM22" s="10"/>
      <c r="BO22" s="59" t="s">
        <v>86</v>
      </c>
      <c r="BP22" s="60" t="s">
        <v>46</v>
      </c>
      <c r="BQ22" s="60" t="s">
        <v>47</v>
      </c>
      <c r="BR22" s="60" t="s">
        <v>48</v>
      </c>
      <c r="BS22" s="60" t="s">
        <v>49</v>
      </c>
      <c r="BT22" s="60" t="s">
        <v>50</v>
      </c>
      <c r="BU22" s="60" t="s">
        <v>53</v>
      </c>
      <c r="BV22" s="60" t="s">
        <v>90</v>
      </c>
      <c r="BW22" s="60" t="s">
        <v>66</v>
      </c>
      <c r="BX22" s="60" t="s">
        <v>51</v>
      </c>
      <c r="BY22" s="60" t="s">
        <v>89</v>
      </c>
      <c r="BZ22" s="60" t="s">
        <v>52</v>
      </c>
      <c r="CA22" s="61" t="s">
        <v>67</v>
      </c>
      <c r="CB22" s="61" t="s">
        <v>68</v>
      </c>
      <c r="CC22" s="61" t="s">
        <v>69</v>
      </c>
      <c r="CD22" s="61" t="s">
        <v>70</v>
      </c>
      <c r="CE22" s="61" t="s">
        <v>87</v>
      </c>
      <c r="CF22" s="61" t="s">
        <v>88</v>
      </c>
      <c r="CG22" s="61" t="s">
        <v>45</v>
      </c>
      <c r="CH22" s="61"/>
    </row>
    <row r="23" spans="1:86" ht="27.75" customHeight="1" thickBot="1">
      <c r="A23" s="8"/>
      <c r="B23" s="388" t="s">
        <v>110</v>
      </c>
      <c r="C23" s="417"/>
      <c r="D23" s="418"/>
      <c r="E23" s="419"/>
      <c r="F23" s="419"/>
      <c r="G23" s="419"/>
      <c r="H23" s="419"/>
      <c r="I23" s="419"/>
      <c r="J23" s="419"/>
      <c r="K23" s="419"/>
      <c r="L23" s="419"/>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c r="AK23" s="419"/>
      <c r="AL23" s="419"/>
      <c r="AM23" s="419"/>
      <c r="AN23" s="419"/>
      <c r="AO23" s="419"/>
      <c r="AP23" s="419"/>
      <c r="AQ23" s="419"/>
      <c r="AR23" s="419"/>
      <c r="AS23" s="419"/>
      <c r="AT23" s="419"/>
      <c r="AU23" s="419"/>
      <c r="AV23" s="419"/>
      <c r="AW23" s="419"/>
      <c r="AX23" s="419"/>
      <c r="AY23" s="419"/>
      <c r="AZ23" s="419"/>
      <c r="BA23" s="419"/>
      <c r="BB23" s="419"/>
      <c r="BC23" s="419"/>
      <c r="BD23" s="419"/>
      <c r="BE23" s="419"/>
      <c r="BF23" s="419"/>
      <c r="BG23" s="419"/>
      <c r="BH23" s="419"/>
      <c r="BI23" s="419"/>
      <c r="BJ23" s="419"/>
      <c r="BK23" s="419"/>
      <c r="BL23" s="420"/>
      <c r="BM23" s="10"/>
      <c r="BO23" s="59"/>
      <c r="BP23" s="60"/>
      <c r="BQ23" s="60"/>
      <c r="BR23" s="60"/>
      <c r="BS23" s="60"/>
      <c r="BT23" s="60"/>
      <c r="BU23" s="60"/>
      <c r="BV23" s="60"/>
      <c r="BW23" s="60"/>
      <c r="BX23" s="60"/>
      <c r="BY23" s="60"/>
      <c r="BZ23" s="60"/>
      <c r="CA23" s="61"/>
      <c r="CB23" s="61"/>
      <c r="CC23" s="61"/>
      <c r="CD23" s="61"/>
      <c r="CE23" s="61"/>
      <c r="CF23" s="61"/>
      <c r="CG23" s="61"/>
      <c r="CH23" s="61"/>
    </row>
    <row r="24" spans="1:105" ht="12" customHeight="1">
      <c r="A24" s="1"/>
      <c r="B24" s="202" t="s">
        <v>20</v>
      </c>
      <c r="C24" s="203"/>
      <c r="D24" s="298" t="s">
        <v>21</v>
      </c>
      <c r="E24" s="299"/>
      <c r="F24" s="299"/>
      <c r="G24" s="299"/>
      <c r="H24" s="299"/>
      <c r="I24" s="299"/>
      <c r="J24" s="299"/>
      <c r="K24" s="299"/>
      <c r="L24" s="299"/>
      <c r="M24" s="311"/>
      <c r="N24" s="316" t="s">
        <v>22</v>
      </c>
      <c r="O24" s="317"/>
      <c r="P24" s="318"/>
      <c r="Q24" s="465" t="s">
        <v>111</v>
      </c>
      <c r="R24" s="466"/>
      <c r="S24" s="467"/>
      <c r="T24" s="316" t="s">
        <v>23</v>
      </c>
      <c r="U24" s="317"/>
      <c r="V24" s="317"/>
      <c r="W24" s="317"/>
      <c r="X24" s="317"/>
      <c r="Y24" s="317"/>
      <c r="Z24" s="318"/>
      <c r="AA24" s="351" t="s">
        <v>24</v>
      </c>
      <c r="AB24" s="352"/>
      <c r="AC24" s="352"/>
      <c r="AD24" s="352"/>
      <c r="AE24" s="352"/>
      <c r="AF24" s="352"/>
      <c r="AG24" s="352"/>
      <c r="AH24" s="352"/>
      <c r="AI24" s="352"/>
      <c r="AJ24" s="352"/>
      <c r="AK24" s="352"/>
      <c r="AL24" s="352"/>
      <c r="AM24" s="352"/>
      <c r="AN24" s="352"/>
      <c r="AO24" s="352"/>
      <c r="AP24" s="352"/>
      <c r="AQ24" s="352"/>
      <c r="AR24" s="353"/>
      <c r="AS24" s="356" t="s">
        <v>131</v>
      </c>
      <c r="AT24" s="252"/>
      <c r="AU24" s="252"/>
      <c r="AV24" s="252"/>
      <c r="AW24" s="252"/>
      <c r="AX24" s="252"/>
      <c r="AY24" s="252"/>
      <c r="AZ24" s="252"/>
      <c r="BA24" s="252"/>
      <c r="BB24" s="252"/>
      <c r="BC24" s="252"/>
      <c r="BD24" s="252"/>
      <c r="BE24" s="252"/>
      <c r="BF24" s="252"/>
      <c r="BG24" s="252"/>
      <c r="BH24" s="252"/>
      <c r="BI24" s="252"/>
      <c r="BJ24" s="252"/>
      <c r="BK24" s="252"/>
      <c r="BL24" s="357"/>
      <c r="BM24" s="10"/>
      <c r="BO24" s="59" t="s">
        <v>78</v>
      </c>
      <c r="BP24" s="62" t="s">
        <v>41</v>
      </c>
      <c r="BQ24" s="62" t="s">
        <v>41</v>
      </c>
      <c r="BR24" s="62" t="s">
        <v>72</v>
      </c>
      <c r="BS24" s="62" t="s">
        <v>72</v>
      </c>
      <c r="BT24" s="62" t="s">
        <v>91</v>
      </c>
      <c r="BU24" s="63" t="s">
        <v>74</v>
      </c>
      <c r="BV24" s="63" t="s">
        <v>75</v>
      </c>
      <c r="BW24" s="63" t="s">
        <v>80</v>
      </c>
      <c r="BX24" s="63" t="s">
        <v>42</v>
      </c>
      <c r="BY24" s="63" t="s">
        <v>85</v>
      </c>
      <c r="BZ24" s="63" t="s">
        <v>81</v>
      </c>
      <c r="CA24" s="64" t="s">
        <v>67</v>
      </c>
      <c r="CB24" s="64" t="s">
        <v>68</v>
      </c>
      <c r="CC24" s="64" t="s">
        <v>69</v>
      </c>
      <c r="CD24" s="64" t="s">
        <v>70</v>
      </c>
      <c r="CE24" s="64" t="s">
        <v>82</v>
      </c>
      <c r="CF24" s="64" t="s">
        <v>82</v>
      </c>
      <c r="CG24" s="64" t="s">
        <v>82</v>
      </c>
      <c r="CH24" s="341" t="s">
        <v>96</v>
      </c>
      <c r="CI24" s="354" t="s">
        <v>83</v>
      </c>
      <c r="CJ24" s="354"/>
      <c r="CK24" s="354"/>
      <c r="CL24" s="354"/>
      <c r="CM24" s="354"/>
      <c r="CN24" s="354"/>
      <c r="CO24" s="354"/>
      <c r="CP24" s="354"/>
      <c r="CQ24" s="355"/>
      <c r="CR24" s="355"/>
      <c r="CS24" s="355"/>
      <c r="CT24" s="355"/>
      <c r="CU24" s="355"/>
      <c r="CV24" s="355"/>
      <c r="CW24" s="355"/>
      <c r="CX24" s="355"/>
      <c r="CY24" s="355"/>
      <c r="CZ24" s="355"/>
      <c r="DA24" s="341" t="s">
        <v>77</v>
      </c>
    </row>
    <row r="25" spans="1:105" ht="12" customHeight="1">
      <c r="A25" s="1"/>
      <c r="B25" s="204"/>
      <c r="C25" s="205"/>
      <c r="D25" s="300"/>
      <c r="E25" s="301"/>
      <c r="F25" s="301"/>
      <c r="G25" s="301"/>
      <c r="H25" s="301"/>
      <c r="I25" s="301"/>
      <c r="J25" s="301"/>
      <c r="K25" s="301"/>
      <c r="L25" s="301"/>
      <c r="M25" s="312"/>
      <c r="N25" s="319"/>
      <c r="O25" s="320"/>
      <c r="P25" s="321"/>
      <c r="Q25" s="468"/>
      <c r="R25" s="469"/>
      <c r="S25" s="470"/>
      <c r="T25" s="319"/>
      <c r="U25" s="320"/>
      <c r="V25" s="320"/>
      <c r="W25" s="320"/>
      <c r="X25" s="320"/>
      <c r="Y25" s="320"/>
      <c r="Z25" s="321"/>
      <c r="AA25" s="344">
        <f>IF($D$18&lt;&gt;"",$D$18,"")</f>
      </c>
      <c r="AB25" s="345"/>
      <c r="AC25" s="65" t="s">
        <v>25</v>
      </c>
      <c r="AD25" s="346">
        <f>IF($D$18&lt;&gt;"",$D$18+1,"")</f>
      </c>
      <c r="AE25" s="347"/>
      <c r="AF25" s="66" t="s">
        <v>13</v>
      </c>
      <c r="AG25" s="345">
        <f>IF($D$18&lt;&gt;"",$D$18+1,"")</f>
      </c>
      <c r="AH25" s="345"/>
      <c r="AI25" s="65" t="s">
        <v>25</v>
      </c>
      <c r="AJ25" s="346">
        <f>IF($D$18&lt;&gt;"",$D$18+2,"")</f>
      </c>
      <c r="AK25" s="347"/>
      <c r="AL25" s="66" t="s">
        <v>13</v>
      </c>
      <c r="AM25" s="345">
        <f>IF($D$18&lt;&gt;"",$D$18+2,"")</f>
      </c>
      <c r="AN25" s="345"/>
      <c r="AO25" s="65" t="s">
        <v>25</v>
      </c>
      <c r="AP25" s="345">
        <f>IF($D$18&lt;&gt;"",$D$18+3,"")</f>
      </c>
      <c r="AQ25" s="345"/>
      <c r="AR25" s="65" t="s">
        <v>25</v>
      </c>
      <c r="AS25" s="358"/>
      <c r="AT25" s="253"/>
      <c r="AU25" s="253"/>
      <c r="AV25" s="253"/>
      <c r="AW25" s="253"/>
      <c r="AX25" s="253"/>
      <c r="AY25" s="253"/>
      <c r="AZ25" s="253"/>
      <c r="BA25" s="253"/>
      <c r="BB25" s="253"/>
      <c r="BC25" s="253"/>
      <c r="BD25" s="253"/>
      <c r="BE25" s="253"/>
      <c r="BF25" s="253"/>
      <c r="BG25" s="253"/>
      <c r="BH25" s="253"/>
      <c r="BI25" s="253"/>
      <c r="BJ25" s="253"/>
      <c r="BK25" s="253"/>
      <c r="BL25" s="359"/>
      <c r="BM25" s="10"/>
      <c r="BO25" s="59" t="s">
        <v>76</v>
      </c>
      <c r="BP25" s="6">
        <v>1500</v>
      </c>
      <c r="BQ25" s="6">
        <v>4000</v>
      </c>
      <c r="BR25" s="6">
        <v>750</v>
      </c>
      <c r="BS25" s="6">
        <v>2000</v>
      </c>
      <c r="BT25" s="67">
        <v>0</v>
      </c>
      <c r="BU25" s="6">
        <v>300</v>
      </c>
      <c r="BV25" s="6">
        <v>1500</v>
      </c>
      <c r="BW25" s="6">
        <v>350</v>
      </c>
      <c r="BX25" s="6">
        <v>600</v>
      </c>
      <c r="BY25" s="67">
        <v>0</v>
      </c>
      <c r="BZ25" s="6">
        <v>150</v>
      </c>
      <c r="CA25" s="4">
        <v>82000</v>
      </c>
      <c r="CB25" s="4">
        <v>8000</v>
      </c>
      <c r="CC25" s="4">
        <v>1000</v>
      </c>
      <c r="CD25" s="4">
        <v>1000</v>
      </c>
      <c r="CE25" s="4">
        <v>1500</v>
      </c>
      <c r="CF25" s="4">
        <v>2000</v>
      </c>
      <c r="CG25" s="68">
        <v>0</v>
      </c>
      <c r="CH25" s="342"/>
      <c r="CI25" s="362" t="s">
        <v>44</v>
      </c>
      <c r="CJ25" s="363"/>
      <c r="CK25" s="363"/>
      <c r="CL25" s="363"/>
      <c r="CM25" s="363"/>
      <c r="CN25" s="363"/>
      <c r="CO25" s="363"/>
      <c r="CP25" s="363"/>
      <c r="CQ25" s="348" t="s">
        <v>84</v>
      </c>
      <c r="CR25" s="364"/>
      <c r="CS25" s="365"/>
      <c r="CT25" s="348" t="s">
        <v>92</v>
      </c>
      <c r="CU25" s="349"/>
      <c r="CV25" s="349"/>
      <c r="CW25" s="350"/>
      <c r="CX25" s="69" t="s">
        <v>95</v>
      </c>
      <c r="CY25" s="69" t="s">
        <v>93</v>
      </c>
      <c r="CZ25" s="70" t="s">
        <v>94</v>
      </c>
      <c r="DA25" s="342"/>
    </row>
    <row r="26" spans="1:105" ht="12" customHeight="1" thickBot="1">
      <c r="A26" s="1"/>
      <c r="B26" s="204"/>
      <c r="C26" s="205"/>
      <c r="D26" s="313"/>
      <c r="E26" s="314"/>
      <c r="F26" s="314"/>
      <c r="G26" s="314"/>
      <c r="H26" s="314"/>
      <c r="I26" s="314"/>
      <c r="J26" s="314"/>
      <c r="K26" s="314"/>
      <c r="L26" s="314"/>
      <c r="M26" s="315"/>
      <c r="N26" s="322"/>
      <c r="O26" s="323"/>
      <c r="P26" s="324"/>
      <c r="Q26" s="471"/>
      <c r="R26" s="472"/>
      <c r="S26" s="473"/>
      <c r="T26" s="322"/>
      <c r="U26" s="323"/>
      <c r="V26" s="323"/>
      <c r="W26" s="323"/>
      <c r="X26" s="323"/>
      <c r="Y26" s="323"/>
      <c r="Z26" s="324"/>
      <c r="AA26" s="351" t="s">
        <v>26</v>
      </c>
      <c r="AB26" s="352"/>
      <c r="AC26" s="353"/>
      <c r="AD26" s="351" t="s">
        <v>27</v>
      </c>
      <c r="AE26" s="352"/>
      <c r="AF26" s="353"/>
      <c r="AG26" s="351" t="s">
        <v>26</v>
      </c>
      <c r="AH26" s="352"/>
      <c r="AI26" s="353"/>
      <c r="AJ26" s="351" t="s">
        <v>27</v>
      </c>
      <c r="AK26" s="352"/>
      <c r="AL26" s="353"/>
      <c r="AM26" s="351" t="s">
        <v>26</v>
      </c>
      <c r="AN26" s="352"/>
      <c r="AO26" s="353"/>
      <c r="AP26" s="351" t="s">
        <v>27</v>
      </c>
      <c r="AQ26" s="352"/>
      <c r="AR26" s="353"/>
      <c r="AS26" s="256"/>
      <c r="AT26" s="254"/>
      <c r="AU26" s="254"/>
      <c r="AV26" s="254"/>
      <c r="AW26" s="254"/>
      <c r="AX26" s="254"/>
      <c r="AY26" s="254"/>
      <c r="AZ26" s="254"/>
      <c r="BA26" s="254"/>
      <c r="BB26" s="254"/>
      <c r="BC26" s="254"/>
      <c r="BD26" s="254"/>
      <c r="BE26" s="254"/>
      <c r="BF26" s="254"/>
      <c r="BG26" s="254"/>
      <c r="BH26" s="254"/>
      <c r="BI26" s="254"/>
      <c r="BJ26" s="254"/>
      <c r="BK26" s="254"/>
      <c r="BL26" s="360"/>
      <c r="BM26" s="10"/>
      <c r="BN26" s="71"/>
      <c r="BP26" s="72">
        <v>1</v>
      </c>
      <c r="BQ26" s="73">
        <v>2</v>
      </c>
      <c r="BR26" s="73">
        <v>3</v>
      </c>
      <c r="BS26" s="73">
        <v>4</v>
      </c>
      <c r="BT26" s="73">
        <v>5</v>
      </c>
      <c r="BU26" s="73">
        <v>6</v>
      </c>
      <c r="BV26" s="73">
        <v>7</v>
      </c>
      <c r="BW26" s="74">
        <v>8</v>
      </c>
      <c r="BX26" s="72">
        <v>9</v>
      </c>
      <c r="BY26" s="73">
        <v>10</v>
      </c>
      <c r="BZ26" s="74">
        <v>11</v>
      </c>
      <c r="CA26" s="72">
        <v>12</v>
      </c>
      <c r="CB26" s="73">
        <v>13</v>
      </c>
      <c r="CC26" s="73">
        <v>14</v>
      </c>
      <c r="CD26" s="74">
        <v>15</v>
      </c>
      <c r="CE26" s="75">
        <v>16</v>
      </c>
      <c r="CF26" s="76">
        <v>17</v>
      </c>
      <c r="CG26" s="77">
        <v>18</v>
      </c>
      <c r="CH26" s="343"/>
      <c r="CI26" s="78">
        <v>1</v>
      </c>
      <c r="CJ26" s="79">
        <v>2</v>
      </c>
      <c r="CK26" s="79">
        <v>3</v>
      </c>
      <c r="CL26" s="79">
        <v>4</v>
      </c>
      <c r="CM26" s="79">
        <v>5</v>
      </c>
      <c r="CN26" s="79">
        <v>6</v>
      </c>
      <c r="CO26" s="79">
        <v>7</v>
      </c>
      <c r="CP26" s="80">
        <v>8</v>
      </c>
      <c r="CQ26" s="81">
        <v>9</v>
      </c>
      <c r="CR26" s="82">
        <v>10</v>
      </c>
      <c r="CS26" s="83">
        <v>11</v>
      </c>
      <c r="CT26" s="81">
        <v>12</v>
      </c>
      <c r="CU26" s="82">
        <v>13</v>
      </c>
      <c r="CV26" s="82">
        <v>14</v>
      </c>
      <c r="CW26" s="83">
        <v>15</v>
      </c>
      <c r="CX26" s="84">
        <v>16</v>
      </c>
      <c r="CY26" s="84">
        <v>17</v>
      </c>
      <c r="CZ26" s="85">
        <v>18</v>
      </c>
      <c r="DA26" s="343"/>
    </row>
    <row r="27" spans="1:105" ht="15" customHeight="1">
      <c r="A27" s="1"/>
      <c r="B27" s="204"/>
      <c r="C27" s="205"/>
      <c r="D27" s="421"/>
      <c r="E27" s="422"/>
      <c r="F27" s="422"/>
      <c r="G27" s="422"/>
      <c r="H27" s="422"/>
      <c r="I27" s="422"/>
      <c r="J27" s="422"/>
      <c r="K27" s="422"/>
      <c r="L27" s="422"/>
      <c r="M27" s="423"/>
      <c r="N27" s="427"/>
      <c r="O27" s="428"/>
      <c r="P27" s="429"/>
      <c r="Q27" s="457"/>
      <c r="R27" s="458"/>
      <c r="S27" s="458"/>
      <c r="T27" s="474"/>
      <c r="U27" s="475"/>
      <c r="V27" s="475"/>
      <c r="W27" s="475"/>
      <c r="X27" s="475"/>
      <c r="Y27" s="475"/>
      <c r="Z27" s="476"/>
      <c r="AA27" s="430"/>
      <c r="AB27" s="431"/>
      <c r="AC27" s="432"/>
      <c r="AD27" s="430"/>
      <c r="AE27" s="431"/>
      <c r="AF27" s="432"/>
      <c r="AG27" s="430"/>
      <c r="AH27" s="431"/>
      <c r="AI27" s="432"/>
      <c r="AJ27" s="430"/>
      <c r="AK27" s="431"/>
      <c r="AL27" s="432"/>
      <c r="AM27" s="430"/>
      <c r="AN27" s="431"/>
      <c r="AO27" s="432"/>
      <c r="AP27" s="430"/>
      <c r="AQ27" s="431"/>
      <c r="AR27" s="432"/>
      <c r="AS27" s="361">
        <f>IF(D27="","",DA27)</f>
      </c>
      <c r="AT27" s="197"/>
      <c r="AU27" s="197"/>
      <c r="AV27" s="197"/>
      <c r="AW27" s="197"/>
      <c r="AX27" s="197"/>
      <c r="AY27" s="197"/>
      <c r="AZ27" s="197"/>
      <c r="BA27" s="197"/>
      <c r="BB27" s="197"/>
      <c r="BC27" s="197"/>
      <c r="BD27" s="197"/>
      <c r="BE27" s="197"/>
      <c r="BF27" s="197"/>
      <c r="BG27" s="197"/>
      <c r="BH27" s="197"/>
      <c r="BI27" s="197"/>
      <c r="BJ27" s="197"/>
      <c r="BK27" s="197"/>
      <c r="BL27" s="198"/>
      <c r="BM27" s="10">
        <f>IF(N27="",0,IF(OR(N27=0,N27=1,N27=2,N27=3,N27=4,N27=5),1,0))</f>
        <v>0</v>
      </c>
      <c r="BN27" s="86"/>
      <c r="BP27" s="87"/>
      <c r="BQ27" s="88"/>
      <c r="BR27" s="88"/>
      <c r="BS27" s="88"/>
      <c r="BT27" s="88"/>
      <c r="BU27" s="88"/>
      <c r="BV27" s="88"/>
      <c r="BW27" s="89"/>
      <c r="BX27" s="87"/>
      <c r="BY27" s="88"/>
      <c r="BZ27" s="89"/>
      <c r="CA27" s="87"/>
      <c r="CB27" s="88"/>
      <c r="CC27" s="88"/>
      <c r="CD27" s="89"/>
      <c r="CE27" s="90"/>
      <c r="CF27" s="88"/>
      <c r="CG27" s="91"/>
      <c r="CH27" s="92"/>
      <c r="CI27" s="93">
        <f>IF(BP28&gt;0,BP$24,"")</f>
      </c>
      <c r="CJ27" s="94">
        <f>IF(BQ28&gt;0,BQ$24,"")</f>
      </c>
      <c r="CK27" s="94">
        <f aca="true" t="shared" si="0" ref="CK27:CQ27">IF(BR28&gt;0,BR$24,"")</f>
      </c>
      <c r="CL27" s="94">
        <f t="shared" si="0"/>
      </c>
      <c r="CM27" s="94">
        <f t="shared" si="0"/>
      </c>
      <c r="CN27" s="94">
        <f t="shared" si="0"/>
      </c>
      <c r="CO27" s="94">
        <f t="shared" si="0"/>
      </c>
      <c r="CP27" s="95">
        <f t="shared" si="0"/>
      </c>
      <c r="CQ27" s="96">
        <f t="shared" si="0"/>
      </c>
      <c r="CR27" s="94">
        <f aca="true" t="shared" si="1" ref="CR27:CZ27">IF(BY28&gt;0,BY$24,"")</f>
      </c>
      <c r="CS27" s="95">
        <f t="shared" si="1"/>
      </c>
      <c r="CT27" s="96">
        <f t="shared" si="1"/>
      </c>
      <c r="CU27" s="94">
        <f>IF(CB28&gt;0,IF($J$5&gt;0,"+","")&amp;CB$24,"")</f>
      </c>
      <c r="CV27" s="94">
        <f>IF(CC28&gt;0,IF(SUM($J$5:$L$6)&gt;0,"+","")&amp;CC$24,"")</f>
      </c>
      <c r="CW27" s="95">
        <f>IF(CD28&gt;0,IF(SUM($J$5:$L$7)&gt;0,"+","")&amp;CD$24,"")</f>
      </c>
      <c r="CX27" s="97">
        <f t="shared" si="1"/>
      </c>
      <c r="CY27" s="97">
        <f t="shared" si="1"/>
      </c>
      <c r="CZ27" s="98">
        <f t="shared" si="1"/>
      </c>
      <c r="DA27" s="99">
        <f>CI27&amp;CJ27&amp;CK27&amp;CL27&amp;CM27&amp;CN27&amp;CO27&amp;CP27&amp;CQ27&amp;CR27&amp;CS27&amp;CT27&amp;CU27&amp;CV27&amp;CW27&amp;CX27&amp;CY27&amp;CZ27&amp;IF(AND(CH28&gt;0,BO28&gt;1),"＝合計","")</f>
      </c>
    </row>
    <row r="28" spans="1:105" ht="15" customHeight="1">
      <c r="A28" s="1"/>
      <c r="B28" s="204"/>
      <c r="C28" s="205"/>
      <c r="D28" s="424"/>
      <c r="E28" s="425"/>
      <c r="F28" s="425"/>
      <c r="G28" s="425"/>
      <c r="H28" s="425"/>
      <c r="I28" s="425"/>
      <c r="J28" s="425"/>
      <c r="K28" s="425"/>
      <c r="L28" s="425"/>
      <c r="M28" s="426"/>
      <c r="N28" s="427"/>
      <c r="O28" s="428"/>
      <c r="P28" s="429"/>
      <c r="Q28" s="459"/>
      <c r="R28" s="460"/>
      <c r="S28" s="460"/>
      <c r="T28" s="477"/>
      <c r="U28" s="478"/>
      <c r="V28" s="478"/>
      <c r="W28" s="478"/>
      <c r="X28" s="478"/>
      <c r="Y28" s="478"/>
      <c r="Z28" s="479"/>
      <c r="AA28" s="433"/>
      <c r="AB28" s="434"/>
      <c r="AC28" s="435"/>
      <c r="AD28" s="433"/>
      <c r="AE28" s="434"/>
      <c r="AF28" s="435"/>
      <c r="AG28" s="433"/>
      <c r="AH28" s="434"/>
      <c r="AI28" s="435"/>
      <c r="AJ28" s="433"/>
      <c r="AK28" s="434"/>
      <c r="AL28" s="435"/>
      <c r="AM28" s="433"/>
      <c r="AN28" s="434"/>
      <c r="AO28" s="435"/>
      <c r="AP28" s="433"/>
      <c r="AQ28" s="434"/>
      <c r="AR28" s="435"/>
      <c r="AS28" s="235">
        <f>IF(D27="","",DA28)</f>
      </c>
      <c r="AT28" s="236"/>
      <c r="AU28" s="236"/>
      <c r="AV28" s="236"/>
      <c r="AW28" s="236"/>
      <c r="AX28" s="236"/>
      <c r="AY28" s="236"/>
      <c r="AZ28" s="236"/>
      <c r="BA28" s="236"/>
      <c r="BB28" s="236"/>
      <c r="BC28" s="236"/>
      <c r="BD28" s="236"/>
      <c r="BE28" s="236"/>
      <c r="BF28" s="236"/>
      <c r="BG28" s="236"/>
      <c r="BH28" s="236"/>
      <c r="BI28" s="236"/>
      <c r="BJ28" s="236"/>
      <c r="BK28" s="236"/>
      <c r="BL28" s="237"/>
      <c r="BM28" s="10"/>
      <c r="BN28" s="86"/>
      <c r="BO28" s="6">
        <f>COUNTIF(BP28:CG28,"&gt;0")</f>
        <v>0</v>
      </c>
      <c r="BP28" s="100">
        <f>IF(AND($B$4="志賀山荘",D27&lt;&gt;""),IF($BM27=1,0,IF(OR($T27="本人",$T27="配偶者",$T27="子",$T27="父母",$T27="義父母",$T27="同居の親族",$T27="みつわ会会員"),$P$18,0)),0)</f>
        <v>0</v>
      </c>
      <c r="BQ28" s="101">
        <f>IF(AND($B$4="志賀山荘",D27&lt;&gt;""),IF($BM27=1,0,IF($T27="その他",$P$18,0)),0)</f>
        <v>0</v>
      </c>
      <c r="BR28" s="101">
        <f>IF(AND($B$4="志賀山荘",D27&lt;&gt;""),IF(AND(OR($T27="本人",$T27="配偶者",$T27="子",$T27="父母",$T27="義父母",$T27="同居の親族",$T27="みつわ会会員"),$BM27=1,$Q27="有"),$P$18,0),0)</f>
        <v>0</v>
      </c>
      <c r="BS28" s="101">
        <f>IF(AND($B$4="志賀山荘",D27&lt;&gt;""),IF(AND($T27="その他",$BM27=1,$Q27="有"),$P$18,0),0)</f>
        <v>0</v>
      </c>
      <c r="BT28" s="101">
        <f>IF(AND($B$4="志賀山荘",D27&lt;&gt;""),IF($BM27=0,0,IF($Q27="無",$P$18,0)),0)</f>
        <v>0</v>
      </c>
      <c r="BU28" s="101">
        <f>IF(AND($B$4="志賀山荘",D27&lt;&gt;""),IF(OR($BM$18&gt;10,$BM$18&lt;4),IF($BT28=0,IF(SUM(BP28:BS28)&gt;0,$P$18,0),0),0),0)</f>
        <v>0</v>
      </c>
      <c r="BV28" s="101">
        <f>IF(AND($B$4="志賀山荘",D27&lt;&gt;""),COUNTIF($AA27,"○")+COUNTIF($AG27,"○")+COUNTIF($AM27,"○"),0)</f>
        <v>0</v>
      </c>
      <c r="BW28" s="102">
        <f>IF(AND($B$4="志賀山荘",D27&lt;&gt;""),COUNTIF($AD27,"○")+COUNTIF($AJ27,"○")+COUNTIF($AP27,"○"),0)</f>
        <v>0</v>
      </c>
      <c r="BX28" s="100">
        <f>IF(AND($B$4="勝浦ﾎﾃﾙ三日月",D27&lt;&gt;""),IF(AND(COUNTA($T27)=1,$BM27=1),IF(Q27="無",0,$P$18),$P$18),0)</f>
        <v>0</v>
      </c>
      <c r="BY28" s="101">
        <f>IF(AND($B$4="勝浦ﾎﾃﾙ三日月",D27&lt;&gt;""),IF(AND(COUNTA($T27)=1,$BM27=1,Q27="無"),$P$18,0),0)</f>
        <v>0</v>
      </c>
      <c r="BZ28" s="102">
        <f>IF(AND($B$4="勝浦ﾎﾃﾙ三日月",D27&lt;&gt;""),IF(AND(COUNTA($T27)=1,$N27&gt;11),$P$18,0),0)</f>
        <v>0</v>
      </c>
      <c r="CA28" s="100">
        <f>IF(AND($B5="ﾙｽﾂA.宿泊ﾊﾟｯｸ",D27&lt;&gt;""),$J5,0)</f>
        <v>0</v>
      </c>
      <c r="CB28" s="101">
        <f>IF(AND($B6="ﾙｽﾂB.宿泊券",D27&lt;&gt;""),$J6,0)</f>
        <v>0</v>
      </c>
      <c r="CC28" s="101">
        <f>IF(AND($B7="ﾙｽﾂC.割引券",D27&lt;&gt;""),$J7,0)</f>
        <v>0</v>
      </c>
      <c r="CD28" s="102">
        <f>IF(AND($B8="ﾙｽﾂD.ﾎﾟｲﾝﾄ券",D27&lt;&gt;""),$J8,0)</f>
        <v>0</v>
      </c>
      <c r="CE28" s="103">
        <f>IF(AND($B4="ｽｶｲﾊﾟｰｸﾎﾃﾙ",D27&lt;&gt;""),$J4,0)</f>
        <v>0</v>
      </c>
      <c r="CF28" s="101">
        <f>IF(AND($B4="穂高ﾋﾞｭｰﾎﾃﾙ",D27&lt;&gt;""),$J4,0)</f>
        <v>0</v>
      </c>
      <c r="CG28" s="104">
        <f>IF(AND($B4="由布院倶楽部",D27&lt;&gt;""),$J4,0)</f>
        <v>0</v>
      </c>
      <c r="CH28" s="105">
        <f>SUM(BP$25*BP28,BQ$25*BQ28,BR$25*BR28,BS$25*BS28,BT$25*BT28,BU$25*BU28,BV$25*BV28,BW$25*BW28,BX$25*BX28,BY$25*BY28,BZ$25*BZ28,CA$25*CA28,CB$25*CB28,CC$25*CC28,CD$25*CD28,CE$25*CE28,CF$25*CF28,CG$25*CG28)</f>
        <v>0</v>
      </c>
      <c r="CI28" s="106">
        <f>IF(BP28&gt;0,TEXT(BP$25*BP28,"\#,##0"),"")</f>
      </c>
      <c r="CJ28" s="107">
        <f>IF(BQ28&gt;0,TEXT(BQ$25*BQ28,"\#,##0"),"")</f>
      </c>
      <c r="CK28" s="107">
        <f>IF(BR28&gt;0,TEXT(BR$25*BR28,"\#,##0"),"")</f>
      </c>
      <c r="CL28" s="107">
        <f>IF(BS28&gt;0,TEXT(BS$25*BS28,"\#,##0"),"")</f>
      </c>
      <c r="CM28" s="107">
        <f>IF(BT28&gt;0,TEXT(BT$25*BT28,"\#,##0"),"")</f>
      </c>
      <c r="CN28" s="107">
        <f>IF(BU28&gt;0,TEXT(BU$25*BU28,"+\#,##0"),"")</f>
      </c>
      <c r="CO28" s="107">
        <f>IF(BV28&gt;0,TEXT(BV$25*BV28,"+\#,##0"),"")</f>
      </c>
      <c r="CP28" s="108">
        <f>IF(BW28&gt;0,TEXT(BW$25*BW28,"+\#,##0"),"")</f>
      </c>
      <c r="CQ28" s="109">
        <f>IF(BX28&gt;0,TEXT(BX$25*BX28,"\#,##0"),"")</f>
      </c>
      <c r="CR28" s="107">
        <f>IF(BY28&gt;0,TEXT(BY$25*BY28,"\#,##0"),"")</f>
      </c>
      <c r="CS28" s="108">
        <f>IF(BZ28&gt;0,TEXT(BZ$25*BZ28,"+\#,##0"),"")</f>
      </c>
      <c r="CT28" s="109">
        <f>IF(CA28&gt;0,TEXT(CA$25*CA28,"\#,##0"),"")</f>
      </c>
      <c r="CU28" s="107">
        <f>IF(CB28&gt;0,IF($J$5&gt;0,"+","")&amp;TEXT(CB$25*CB28,"\#,##0"),"")</f>
      </c>
      <c r="CV28" s="107">
        <f>IF(CC28&gt;0,IF(SUM($J$5:$L$6)&gt;0,"+","")&amp;TEXT(CC$25*CC28,"\#,##0"),"")</f>
      </c>
      <c r="CW28" s="108">
        <f>IF(CD28&gt;0,IF(SUM($J$5:$L$7)&gt;0,"+","")&amp;TEXT(CD$25*CD28,"\#,##0"),"")</f>
      </c>
      <c r="CX28" s="110">
        <f>IF(CE28&gt;0,TEXT(CE$25*CE28,"\#,##0"),"")</f>
      </c>
      <c r="CY28" s="110">
        <f>IF(CF28&gt;0,TEXT(CF$25*CF28,"\#,##0"),"")</f>
      </c>
      <c r="CZ28" s="111">
        <f>IF(CG28&gt;0,TEXT(CG$25*CG28,"\#,##0"),"")</f>
      </c>
      <c r="DA28" s="112" t="str">
        <f>IF(CH28=0,"- ",CI28&amp;CJ28&amp;CK28&amp;CL28&amp;CM28&amp;CN28&amp;CO28&amp;CP28&amp;CQ28&amp;CR28&amp;CS28&amp;CT28&amp;CU28&amp;CV28&amp;CW28&amp;CX28&amp;CY28&amp;CZ28&amp;IF(BO28&gt;1,TEXT(CH28,"=\#,##0"),""))</f>
        <v>- </v>
      </c>
    </row>
    <row r="29" spans="1:105" ht="15" customHeight="1">
      <c r="A29" s="1"/>
      <c r="B29" s="204"/>
      <c r="C29" s="205"/>
      <c r="D29" s="421"/>
      <c r="E29" s="422"/>
      <c r="F29" s="422"/>
      <c r="G29" s="422"/>
      <c r="H29" s="422"/>
      <c r="I29" s="422"/>
      <c r="J29" s="422"/>
      <c r="K29" s="422"/>
      <c r="L29" s="422"/>
      <c r="M29" s="423"/>
      <c r="N29" s="427"/>
      <c r="O29" s="428"/>
      <c r="P29" s="429"/>
      <c r="Q29" s="457"/>
      <c r="R29" s="458"/>
      <c r="S29" s="458"/>
      <c r="T29" s="474"/>
      <c r="U29" s="475"/>
      <c r="V29" s="475"/>
      <c r="W29" s="475"/>
      <c r="X29" s="475"/>
      <c r="Y29" s="475"/>
      <c r="Z29" s="476"/>
      <c r="AA29" s="430"/>
      <c r="AB29" s="431"/>
      <c r="AC29" s="432"/>
      <c r="AD29" s="430"/>
      <c r="AE29" s="431"/>
      <c r="AF29" s="432"/>
      <c r="AG29" s="430"/>
      <c r="AH29" s="431"/>
      <c r="AI29" s="432"/>
      <c r="AJ29" s="430"/>
      <c r="AK29" s="431"/>
      <c r="AL29" s="432"/>
      <c r="AM29" s="430"/>
      <c r="AN29" s="431"/>
      <c r="AO29" s="432"/>
      <c r="AP29" s="430"/>
      <c r="AQ29" s="431"/>
      <c r="AR29" s="432"/>
      <c r="AS29" s="361">
        <f>IF(D29="","",DA29)</f>
      </c>
      <c r="AT29" s="197"/>
      <c r="AU29" s="197"/>
      <c r="AV29" s="197"/>
      <c r="AW29" s="197"/>
      <c r="AX29" s="197"/>
      <c r="AY29" s="197"/>
      <c r="AZ29" s="197"/>
      <c r="BA29" s="197"/>
      <c r="BB29" s="197"/>
      <c r="BC29" s="197"/>
      <c r="BD29" s="197"/>
      <c r="BE29" s="197"/>
      <c r="BF29" s="197"/>
      <c r="BG29" s="197"/>
      <c r="BH29" s="197"/>
      <c r="BI29" s="197"/>
      <c r="BJ29" s="197"/>
      <c r="BK29" s="197"/>
      <c r="BL29" s="198"/>
      <c r="BM29" s="10">
        <f>IF(N29="",0,IF(OR(N29=0,N29=1,N29=2,N29=3,N29=4,N29=5),1,0))</f>
        <v>0</v>
      </c>
      <c r="BN29" s="86"/>
      <c r="BP29" s="87"/>
      <c r="BQ29" s="88"/>
      <c r="BR29" s="88"/>
      <c r="BS29" s="88"/>
      <c r="BT29" s="88"/>
      <c r="BU29" s="88"/>
      <c r="BV29" s="88"/>
      <c r="BW29" s="89"/>
      <c r="BX29" s="87"/>
      <c r="BY29" s="88"/>
      <c r="BZ29" s="89"/>
      <c r="CA29" s="87"/>
      <c r="CB29" s="88"/>
      <c r="CC29" s="88"/>
      <c r="CD29" s="89"/>
      <c r="CE29" s="90"/>
      <c r="CF29" s="88"/>
      <c r="CG29" s="91"/>
      <c r="CH29" s="113"/>
      <c r="CI29" s="93">
        <f aca="true" t="shared" si="2" ref="CI29:CS29">IF(BP30&gt;0,BP$24,"")</f>
      </c>
      <c r="CJ29" s="94">
        <f t="shared" si="2"/>
      </c>
      <c r="CK29" s="94">
        <f t="shared" si="2"/>
      </c>
      <c r="CL29" s="94">
        <f t="shared" si="2"/>
      </c>
      <c r="CM29" s="94">
        <f t="shared" si="2"/>
      </c>
      <c r="CN29" s="94">
        <f t="shared" si="2"/>
      </c>
      <c r="CO29" s="94">
        <f t="shared" si="2"/>
      </c>
      <c r="CP29" s="95">
        <f t="shared" si="2"/>
      </c>
      <c r="CQ29" s="96">
        <f t="shared" si="2"/>
      </c>
      <c r="CR29" s="94">
        <f t="shared" si="2"/>
      </c>
      <c r="CS29" s="95">
        <f t="shared" si="2"/>
      </c>
      <c r="CT29" s="114"/>
      <c r="CU29" s="115"/>
      <c r="CV29" s="115"/>
      <c r="CW29" s="116"/>
      <c r="CX29" s="117"/>
      <c r="CY29" s="117"/>
      <c r="CZ29" s="118"/>
      <c r="DA29" s="119">
        <f>CI29&amp;CJ29&amp;CK29&amp;CL29&amp;CM29&amp;CN29&amp;CO29&amp;CP29&amp;CQ29&amp;CR29&amp;CS29&amp;CT29&amp;CU29&amp;CV29&amp;CW29&amp;CX29&amp;CY29&amp;CZ29&amp;IF(AND(CH30&gt;0,BO30&gt;1),"＝合計","")</f>
      </c>
    </row>
    <row r="30" spans="1:105" ht="15" customHeight="1">
      <c r="A30" s="1"/>
      <c r="B30" s="204"/>
      <c r="C30" s="205"/>
      <c r="D30" s="424"/>
      <c r="E30" s="425"/>
      <c r="F30" s="425"/>
      <c r="G30" s="425"/>
      <c r="H30" s="425"/>
      <c r="I30" s="425"/>
      <c r="J30" s="425"/>
      <c r="K30" s="425"/>
      <c r="L30" s="425"/>
      <c r="M30" s="426"/>
      <c r="N30" s="427"/>
      <c r="O30" s="428"/>
      <c r="P30" s="429"/>
      <c r="Q30" s="459"/>
      <c r="R30" s="460"/>
      <c r="S30" s="460"/>
      <c r="T30" s="477"/>
      <c r="U30" s="478"/>
      <c r="V30" s="478"/>
      <c r="W30" s="478"/>
      <c r="X30" s="478"/>
      <c r="Y30" s="478"/>
      <c r="Z30" s="479"/>
      <c r="AA30" s="433"/>
      <c r="AB30" s="434"/>
      <c r="AC30" s="435"/>
      <c r="AD30" s="433"/>
      <c r="AE30" s="434"/>
      <c r="AF30" s="435"/>
      <c r="AG30" s="433"/>
      <c r="AH30" s="434"/>
      <c r="AI30" s="435"/>
      <c r="AJ30" s="433"/>
      <c r="AK30" s="434"/>
      <c r="AL30" s="435"/>
      <c r="AM30" s="433"/>
      <c r="AN30" s="434"/>
      <c r="AO30" s="435"/>
      <c r="AP30" s="433"/>
      <c r="AQ30" s="434"/>
      <c r="AR30" s="435"/>
      <c r="AS30" s="235">
        <f>IF(D29="","",DA30)</f>
      </c>
      <c r="AT30" s="236"/>
      <c r="AU30" s="236"/>
      <c r="AV30" s="236"/>
      <c r="AW30" s="236"/>
      <c r="AX30" s="236"/>
      <c r="AY30" s="236"/>
      <c r="AZ30" s="236"/>
      <c r="BA30" s="236"/>
      <c r="BB30" s="236"/>
      <c r="BC30" s="236"/>
      <c r="BD30" s="236"/>
      <c r="BE30" s="236"/>
      <c r="BF30" s="236"/>
      <c r="BG30" s="236"/>
      <c r="BH30" s="236"/>
      <c r="BI30" s="236"/>
      <c r="BJ30" s="236"/>
      <c r="BK30" s="236"/>
      <c r="BL30" s="237"/>
      <c r="BM30" s="10"/>
      <c r="BN30" s="86"/>
      <c r="BO30" s="6">
        <f>COUNTIF(BP30:CG30,"&gt;0")</f>
        <v>0</v>
      </c>
      <c r="BP30" s="100">
        <f>IF(AND($B$4="志賀山荘",D29&lt;&gt;""),IF($BM29=1,0,IF(OR($T29="本人",$T29="配偶者",$T29="子",$T29="父母",$T29="義父母",$T29="同居の親族",$T29="みつわ会会員"),$P$18,0)),0)</f>
        <v>0</v>
      </c>
      <c r="BQ30" s="101">
        <f>IF(AND($B$4="志賀山荘",D29&lt;&gt;""),IF($BM29=1,0,IF($T29="その他",$P$18,0)),0)</f>
        <v>0</v>
      </c>
      <c r="BR30" s="101">
        <f>IF(AND($B$4="志賀山荘",D29&lt;&gt;""),IF(AND(OR($T29="本人",$T29="配偶者",$T29="子",$T29="父母",$T29="義父母",$T29="同居の親族",$T29="みつわ会会員"),$BM29=1,$Q29="有"),$P$18,0),0)</f>
        <v>0</v>
      </c>
      <c r="BS30" s="101">
        <f>IF(AND($B$4="志賀山荘",D29&lt;&gt;""),IF(AND($T29="その他",$BM29=1,$Q29="有"),$P$18,0),0)</f>
        <v>0</v>
      </c>
      <c r="BT30" s="101">
        <f>IF(AND($B$4="志賀山荘",D29&lt;&gt;""),IF($BM29=0,0,IF($Q29="無",$P$18,0)),0)</f>
        <v>0</v>
      </c>
      <c r="BU30" s="101">
        <f>IF(AND($B$4="志賀山荘",D29&lt;&gt;""),IF(OR($BM$18&gt;10,$BM$18&lt;4),IF($BT30=0,IF(SUM(BP30:BS30)&gt;0,$P$18,0),0),0),0)</f>
        <v>0</v>
      </c>
      <c r="BV30" s="101">
        <f>IF(AND($B$4="志賀山荘",D29&lt;&gt;""),COUNTIF($AA29,"○")+COUNTIF($AG29,"○")+COUNTIF($AM29,"○"),0)</f>
        <v>0</v>
      </c>
      <c r="BW30" s="102">
        <f>IF(AND($B$4="志賀山荘",D29&lt;&gt;""),COUNTIF($AD29,"○")+COUNTIF($AJ29,"○")+COUNTIF($AP29,"○"),0)</f>
        <v>0</v>
      </c>
      <c r="BX30" s="100">
        <f>IF(AND($B$4="勝浦ﾎﾃﾙ三日月",D29&lt;&gt;""),IF(AND(COUNTA($T29)=1,$BM29=1),IF(Q29="無",0,$P$18),$P$18),0)</f>
        <v>0</v>
      </c>
      <c r="BY30" s="101">
        <f>IF(AND($B$4="勝浦ﾎﾃﾙ三日月",D29&lt;&gt;""),IF(AND(COUNTA($T29)=1,$BM29=1,Q29="無"),$P$18,0),0)</f>
        <v>0</v>
      </c>
      <c r="BZ30" s="102">
        <f>IF(AND($B$4="勝浦ﾎﾃﾙ三日月",D29&lt;&gt;""),IF(AND(COUNTA($T29)=1,$N29&gt;11),$P$18,0),0)</f>
        <v>0</v>
      </c>
      <c r="CA30" s="100">
        <f>IF(AND($B7="ﾙｽﾂA.宿泊ﾊﾟｯｸ",D29&lt;&gt;""),$J7,0)</f>
        <v>0</v>
      </c>
      <c r="CB30" s="101">
        <f>IF(AND($B8="ﾙｽﾂB.宿泊券",D29&lt;&gt;""),$J8,0)</f>
        <v>0</v>
      </c>
      <c r="CC30" s="101">
        <f>IF(AND($B9="ﾙｽﾂC.割引券",D29&lt;&gt;""),$J9,0)</f>
        <v>0</v>
      </c>
      <c r="CD30" s="102">
        <f>IF(AND($B10="ﾙｽﾂD.ﾎﾟｲﾝﾄ券",D29&lt;&gt;""),$J10,0)</f>
        <v>0</v>
      </c>
      <c r="CE30" s="103">
        <f>IF(AND($B6="ｽｶｲﾊﾟｰｸﾎﾃﾙ",D29&lt;&gt;""),$J6,0)</f>
        <v>0</v>
      </c>
      <c r="CF30" s="101">
        <f>IF(AND($B6="穂高ﾋﾞｭｰﾎﾃﾙ",D29&lt;&gt;""),$J6,0)</f>
        <v>0</v>
      </c>
      <c r="CG30" s="104">
        <f>IF(AND($B6="由布院倶楽部",D29&lt;&gt;""),$J6,0)</f>
        <v>0</v>
      </c>
      <c r="CH30" s="105">
        <f>SUM(BP$25*BP30,BQ$25*BQ30,BR$25*BR30,BS$25*BS30,BT$25*BT30,BU$25*BU30,BV$25*BV30,BW$25*BW30,BX$25*BX30,BY$25*BY30,BZ$25*BZ30,CA$25*CA30,CB$25*CB30,CC$25*CC30,CD$25*CD30,CE$25*CE30,CF$25*CF30,CG$25*CG30)</f>
        <v>0</v>
      </c>
      <c r="CI30" s="106">
        <f>IF(BP30&gt;0,TEXT(BP$25*BP30,"\#,##0"),"")</f>
      </c>
      <c r="CJ30" s="107">
        <f>IF(BQ30&gt;0,TEXT(BQ$25*BQ30,"\#,##0"),"")</f>
      </c>
      <c r="CK30" s="107">
        <f>IF(BR30&gt;0,TEXT(BR$25*BR30,"\#,##0"),"")</f>
      </c>
      <c r="CL30" s="107">
        <f>IF(BS30&gt;0,TEXT(BS$25*BS30,"\#,##0"),"")</f>
      </c>
      <c r="CM30" s="107">
        <f>IF(BT30&gt;0,TEXT(BT$25*BT30,"\#,##0"),"")</f>
      </c>
      <c r="CN30" s="107">
        <f>IF(BU30&gt;0,TEXT(BU$25*BU30,"+\#,##0"),"")</f>
      </c>
      <c r="CO30" s="107">
        <f>IF(BV30&gt;0,TEXT(BV$25*BV30,"+\#,##0"),"")</f>
      </c>
      <c r="CP30" s="108">
        <f>IF(BW30&gt;0,TEXT(BW$25*BW30,"+\#,##0"),"")</f>
      </c>
      <c r="CQ30" s="109">
        <f>IF(BX30&gt;0,TEXT(BX$25*BX30,"\#,##0"),"")</f>
      </c>
      <c r="CR30" s="107">
        <f>IF(BY30&gt;0,TEXT(BY$25*BY30,"\#,##0"),"")</f>
      </c>
      <c r="CS30" s="108">
        <f>IF(BZ30&gt;0,TEXT(BZ$25*BZ30,"+\#,##0"),"")</f>
      </c>
      <c r="CT30" s="120"/>
      <c r="CU30" s="121"/>
      <c r="CV30" s="121"/>
      <c r="CW30" s="122"/>
      <c r="CX30" s="123"/>
      <c r="CY30" s="123"/>
      <c r="CZ30" s="124"/>
      <c r="DA30" s="112" t="str">
        <f>IF(CH30=0,"- ",CI30&amp;CJ30&amp;CK30&amp;CL30&amp;CM30&amp;CN30&amp;CO30&amp;CP30&amp;CQ30&amp;CR30&amp;CS30&amp;CT30&amp;CU30&amp;CV30&amp;CW30&amp;CX30&amp;CY30&amp;CZ30&amp;IF(BO30&gt;1,TEXT(CH30,"=\#,##0"),""))</f>
        <v>- </v>
      </c>
    </row>
    <row r="31" spans="1:105" ht="15" customHeight="1">
      <c r="A31" s="1"/>
      <c r="B31" s="204"/>
      <c r="C31" s="205"/>
      <c r="D31" s="421"/>
      <c r="E31" s="422"/>
      <c r="F31" s="422"/>
      <c r="G31" s="422"/>
      <c r="H31" s="422"/>
      <c r="I31" s="422"/>
      <c r="J31" s="422"/>
      <c r="K31" s="422"/>
      <c r="L31" s="422"/>
      <c r="M31" s="423"/>
      <c r="N31" s="427"/>
      <c r="O31" s="428"/>
      <c r="P31" s="429"/>
      <c r="Q31" s="457"/>
      <c r="R31" s="458"/>
      <c r="S31" s="458"/>
      <c r="T31" s="474"/>
      <c r="U31" s="475"/>
      <c r="V31" s="475"/>
      <c r="W31" s="475"/>
      <c r="X31" s="475"/>
      <c r="Y31" s="475"/>
      <c r="Z31" s="476"/>
      <c r="AA31" s="430"/>
      <c r="AB31" s="431"/>
      <c r="AC31" s="432"/>
      <c r="AD31" s="430"/>
      <c r="AE31" s="431"/>
      <c r="AF31" s="432"/>
      <c r="AG31" s="430"/>
      <c r="AH31" s="431"/>
      <c r="AI31" s="432"/>
      <c r="AJ31" s="430"/>
      <c r="AK31" s="431"/>
      <c r="AL31" s="432"/>
      <c r="AM31" s="430"/>
      <c r="AN31" s="431"/>
      <c r="AO31" s="432"/>
      <c r="AP31" s="430"/>
      <c r="AQ31" s="431"/>
      <c r="AR31" s="432"/>
      <c r="AS31" s="361">
        <f>IF(D31="","",DA31)</f>
      </c>
      <c r="AT31" s="197"/>
      <c r="AU31" s="197"/>
      <c r="AV31" s="197"/>
      <c r="AW31" s="197"/>
      <c r="AX31" s="197"/>
      <c r="AY31" s="197"/>
      <c r="AZ31" s="197"/>
      <c r="BA31" s="197"/>
      <c r="BB31" s="197"/>
      <c r="BC31" s="197"/>
      <c r="BD31" s="197"/>
      <c r="BE31" s="197"/>
      <c r="BF31" s="197"/>
      <c r="BG31" s="197"/>
      <c r="BH31" s="197"/>
      <c r="BI31" s="197"/>
      <c r="BJ31" s="197"/>
      <c r="BK31" s="197"/>
      <c r="BL31" s="198"/>
      <c r="BM31" s="10">
        <f>IF(N31="",0,IF(OR(N31=0,N31=1,N31=2,N31=3,N31=4,N31=5),1,0))</f>
        <v>0</v>
      </c>
      <c r="BN31" s="86"/>
      <c r="BP31" s="87"/>
      <c r="BQ31" s="88"/>
      <c r="BR31" s="88"/>
      <c r="BS31" s="88"/>
      <c r="BT31" s="88"/>
      <c r="BU31" s="88"/>
      <c r="BV31" s="88"/>
      <c r="BW31" s="89"/>
      <c r="BX31" s="87"/>
      <c r="BY31" s="88"/>
      <c r="BZ31" s="89"/>
      <c r="CA31" s="87"/>
      <c r="CB31" s="88"/>
      <c r="CC31" s="88"/>
      <c r="CD31" s="89"/>
      <c r="CE31" s="90"/>
      <c r="CF31" s="88"/>
      <c r="CG31" s="91"/>
      <c r="CH31" s="113"/>
      <c r="CI31" s="93">
        <f aca="true" t="shared" si="3" ref="CI31:CS31">IF(BP32&gt;0,BP$24,"")</f>
      </c>
      <c r="CJ31" s="94">
        <f t="shared" si="3"/>
      </c>
      <c r="CK31" s="94">
        <f t="shared" si="3"/>
      </c>
      <c r="CL31" s="94">
        <f t="shared" si="3"/>
      </c>
      <c r="CM31" s="94">
        <f t="shared" si="3"/>
      </c>
      <c r="CN31" s="94">
        <f t="shared" si="3"/>
      </c>
      <c r="CO31" s="94">
        <f t="shared" si="3"/>
      </c>
      <c r="CP31" s="95">
        <f t="shared" si="3"/>
      </c>
      <c r="CQ31" s="96">
        <f t="shared" si="3"/>
      </c>
      <c r="CR31" s="94">
        <f t="shared" si="3"/>
      </c>
      <c r="CS31" s="95">
        <f t="shared" si="3"/>
      </c>
      <c r="CT31" s="114"/>
      <c r="CU31" s="115"/>
      <c r="CV31" s="115"/>
      <c r="CW31" s="116"/>
      <c r="CX31" s="117"/>
      <c r="CY31" s="117"/>
      <c r="CZ31" s="118"/>
      <c r="DA31" s="119">
        <f>CI31&amp;CJ31&amp;CK31&amp;CL31&amp;CM31&amp;CN31&amp;CO31&amp;CP31&amp;CQ31&amp;CR31&amp;CS31&amp;CT31&amp;CU31&amp;CV31&amp;CW31&amp;CX31&amp;CY31&amp;CZ31&amp;IF(AND(CH32&gt;0,BO32&gt;1),"＝合計","")</f>
      </c>
    </row>
    <row r="32" spans="1:105" ht="15" customHeight="1">
      <c r="A32" s="1"/>
      <c r="B32" s="204"/>
      <c r="C32" s="205"/>
      <c r="D32" s="424"/>
      <c r="E32" s="425"/>
      <c r="F32" s="425"/>
      <c r="G32" s="425"/>
      <c r="H32" s="425"/>
      <c r="I32" s="425"/>
      <c r="J32" s="425"/>
      <c r="K32" s="425"/>
      <c r="L32" s="425"/>
      <c r="M32" s="426"/>
      <c r="N32" s="427"/>
      <c r="O32" s="428"/>
      <c r="P32" s="429"/>
      <c r="Q32" s="459"/>
      <c r="R32" s="460"/>
      <c r="S32" s="460"/>
      <c r="T32" s="477"/>
      <c r="U32" s="478"/>
      <c r="V32" s="478"/>
      <c r="W32" s="478"/>
      <c r="X32" s="478"/>
      <c r="Y32" s="478"/>
      <c r="Z32" s="479"/>
      <c r="AA32" s="433"/>
      <c r="AB32" s="434"/>
      <c r="AC32" s="435"/>
      <c r="AD32" s="433"/>
      <c r="AE32" s="434"/>
      <c r="AF32" s="435"/>
      <c r="AG32" s="433"/>
      <c r="AH32" s="434"/>
      <c r="AI32" s="435"/>
      <c r="AJ32" s="433"/>
      <c r="AK32" s="434"/>
      <c r="AL32" s="435"/>
      <c r="AM32" s="433"/>
      <c r="AN32" s="434"/>
      <c r="AO32" s="435"/>
      <c r="AP32" s="433"/>
      <c r="AQ32" s="434"/>
      <c r="AR32" s="435"/>
      <c r="AS32" s="235">
        <f>IF(D31="","",DA32)</f>
      </c>
      <c r="AT32" s="236"/>
      <c r="AU32" s="236"/>
      <c r="AV32" s="236"/>
      <c r="AW32" s="236"/>
      <c r="AX32" s="236"/>
      <c r="AY32" s="236"/>
      <c r="AZ32" s="236"/>
      <c r="BA32" s="236"/>
      <c r="BB32" s="236"/>
      <c r="BC32" s="236"/>
      <c r="BD32" s="236"/>
      <c r="BE32" s="236"/>
      <c r="BF32" s="236"/>
      <c r="BG32" s="236"/>
      <c r="BH32" s="236"/>
      <c r="BI32" s="236"/>
      <c r="BJ32" s="236"/>
      <c r="BK32" s="236"/>
      <c r="BL32" s="237"/>
      <c r="BM32" s="10"/>
      <c r="BN32" s="86"/>
      <c r="BO32" s="6">
        <f>COUNTIF(BP32:CG32,"&gt;0")</f>
        <v>0</v>
      </c>
      <c r="BP32" s="100">
        <f>IF(AND($B$4="志賀山荘",D31&lt;&gt;""),IF($BM31=1,0,IF(OR($T31="本人",$T31="配偶者",$T31="子",$T31="父母",$T31="義父母",$T31="同居の親族",$T31="みつわ会会員"),$P$18,0)),0)</f>
        <v>0</v>
      </c>
      <c r="BQ32" s="101">
        <f>IF(AND($B$4="志賀山荘",D31&lt;&gt;""),IF($BM31=1,0,IF($T31="その他",$P$18,0)),0)</f>
        <v>0</v>
      </c>
      <c r="BR32" s="101">
        <f>IF(AND($B$4="志賀山荘",D31&lt;&gt;""),IF(AND(OR($T31="本人",$T31="配偶者",$T31="子",$T31="父母",$T31="義父母",$T31="同居の親族",$T31="みつわ会会員"),$BM31=1,$Q31="有"),$P$18,0),0)</f>
        <v>0</v>
      </c>
      <c r="BS32" s="101">
        <f>IF(AND($B$4="志賀山荘",D31&lt;&gt;""),IF(AND($T31="その他",$BM31=1,$Q31="有"),$P$18,0),0)</f>
        <v>0</v>
      </c>
      <c r="BT32" s="101">
        <f>IF(AND($B$4="志賀山荘",D31&lt;&gt;""),IF($BM31=0,0,IF($Q31="無",$P$18,0)),0)</f>
        <v>0</v>
      </c>
      <c r="BU32" s="101">
        <f>IF(AND($B$4="志賀山荘",D31&lt;&gt;""),IF(OR($BM$18&gt;10,$BM$18&lt;4),IF($BT32=0,IF(SUM(BP32:BS32)&gt;0,$P$18,0),0),0),0)</f>
        <v>0</v>
      </c>
      <c r="BV32" s="101">
        <f>IF(AND($B$4="志賀山荘",D31&lt;&gt;""),COUNTIF($AA31,"○")+COUNTIF($AG31,"○")+COUNTIF($AM31,"○"),0)</f>
        <v>0</v>
      </c>
      <c r="BW32" s="102">
        <f>IF(AND($B$4="志賀山荘",D31&lt;&gt;""),COUNTIF($AD31,"○")+COUNTIF($AJ31,"○")+COUNTIF($AP31,"○"),0)</f>
        <v>0</v>
      </c>
      <c r="BX32" s="100">
        <f>IF(AND($B$4="勝浦ﾎﾃﾙ三日月",D31&lt;&gt;""),IF(AND(COUNTA($T31)=1,$BM31=1),IF(Q31="無",0,$P$18),$P$18),0)</f>
        <v>0</v>
      </c>
      <c r="BY32" s="101">
        <f>IF(AND($B$4="勝浦ﾎﾃﾙ三日月",D31&lt;&gt;""),IF(AND(COUNTA($T31)=1,$BM31=1,Q31="無"),$P$18,0),0)</f>
        <v>0</v>
      </c>
      <c r="BZ32" s="102">
        <f>IF(AND($B$4="勝浦ﾎﾃﾙ三日月",D31&lt;&gt;""),IF(AND(COUNTA($T31)=1,$N31&gt;11),$P$18,0),0)</f>
        <v>0</v>
      </c>
      <c r="CA32" s="100">
        <f>IF(AND($B9="ﾙｽﾂA.宿泊ﾊﾟｯｸ",D31&lt;&gt;""),$J9,0)</f>
        <v>0</v>
      </c>
      <c r="CB32" s="101">
        <f>IF(AND($B10="ﾙｽﾂB.宿泊券",D31&lt;&gt;""),$J10,0)</f>
        <v>0</v>
      </c>
      <c r="CC32" s="101">
        <f>IF(AND($B11="ﾙｽﾂC.割引券",D31&lt;&gt;""),$J11,0)</f>
        <v>0</v>
      </c>
      <c r="CD32" s="102">
        <f>IF(AND($B12="ﾙｽﾂD.ﾎﾟｲﾝﾄ券",D31&lt;&gt;""),$J12,0)</f>
        <v>0</v>
      </c>
      <c r="CE32" s="103">
        <f>IF(AND($B8="ｽｶｲﾊﾟｰｸﾎﾃﾙ",D31&lt;&gt;""),$J8,0)</f>
        <v>0</v>
      </c>
      <c r="CF32" s="101">
        <f>IF(AND($B8="穂高ﾋﾞｭｰﾎﾃﾙ",D31&lt;&gt;""),$J8,0)</f>
        <v>0</v>
      </c>
      <c r="CG32" s="104">
        <f>IF(AND($B8="由布院倶楽部",D31&lt;&gt;""),$J8,0)</f>
        <v>0</v>
      </c>
      <c r="CH32" s="105">
        <f>SUM(BP$25*BP32,BQ$25*BQ32,BR$25*BR32,BS$25*BS32,BT$25*BT32,BU$25*BU32,BV$25*BV32,BW$25*BW32,BX$25*BX32,BY$25*BY32,BZ$25*BZ32,CA$25*CA32,CB$25*CB32,CC$25*CC32,CD$25*CD32,CE$25*CE32,CF$25*CF32,CG$25*CG32)</f>
        <v>0</v>
      </c>
      <c r="CI32" s="106">
        <f>IF(BP32&gt;0,TEXT(BP$25*BP32,"\#,##0"),"")</f>
      </c>
      <c r="CJ32" s="107">
        <f>IF(BQ32&gt;0,TEXT(BQ$25*BQ32,"\#,##0"),"")</f>
      </c>
      <c r="CK32" s="107">
        <f>IF(BR32&gt;0,TEXT(BR$25*BR32,"\#,##0"),"")</f>
      </c>
      <c r="CL32" s="107">
        <f>IF(BS32&gt;0,TEXT(BS$25*BS32,"\#,##0"),"")</f>
      </c>
      <c r="CM32" s="107">
        <f>IF(BT32&gt;0,TEXT(BT$25*BT32,"\#,##0"),"")</f>
      </c>
      <c r="CN32" s="107">
        <f>IF(BU32&gt;0,TEXT(BU$25*BU32,"+\#,##0"),"")</f>
      </c>
      <c r="CO32" s="107">
        <f>IF(BV32&gt;0,TEXT(BV$25*BV32,"+\#,##0"),"")</f>
      </c>
      <c r="CP32" s="108">
        <f>IF(BW32&gt;0,TEXT(BW$25*BW32,"+\#,##0"),"")</f>
      </c>
      <c r="CQ32" s="109">
        <f>IF(BX32&gt;0,TEXT(BX$25*BX32,"\#,##0"),"")</f>
      </c>
      <c r="CR32" s="107">
        <f>IF(BY32&gt;0,TEXT(BY$25*BY32,"\#,##0"),"")</f>
      </c>
      <c r="CS32" s="108">
        <f>IF(BZ32&gt;0,TEXT(BZ$25*BZ32,"+\#,##0"),"")</f>
      </c>
      <c r="CT32" s="120"/>
      <c r="CU32" s="121"/>
      <c r="CV32" s="121"/>
      <c r="CW32" s="122"/>
      <c r="CX32" s="123"/>
      <c r="CY32" s="123"/>
      <c r="CZ32" s="124"/>
      <c r="DA32" s="112" t="str">
        <f>IF(CH32=0,"- ",CI32&amp;CJ32&amp;CK32&amp;CL32&amp;CM32&amp;CN32&amp;CO32&amp;CP32&amp;CQ32&amp;CR32&amp;CS32&amp;CT32&amp;CU32&amp;CV32&amp;CW32&amp;CX32&amp;CY32&amp;CZ32&amp;IF(BO32&gt;1,TEXT(CH32,"=\#,##0"),""))</f>
        <v>- </v>
      </c>
    </row>
    <row r="33" spans="1:105" ht="15" customHeight="1">
      <c r="A33" s="1"/>
      <c r="B33" s="204"/>
      <c r="C33" s="205"/>
      <c r="D33" s="421"/>
      <c r="E33" s="422"/>
      <c r="F33" s="422"/>
      <c r="G33" s="422"/>
      <c r="H33" s="422"/>
      <c r="I33" s="422"/>
      <c r="J33" s="422"/>
      <c r="K33" s="422"/>
      <c r="L33" s="422"/>
      <c r="M33" s="423"/>
      <c r="N33" s="427"/>
      <c r="O33" s="428"/>
      <c r="P33" s="429"/>
      <c r="Q33" s="457"/>
      <c r="R33" s="458"/>
      <c r="S33" s="458"/>
      <c r="T33" s="474"/>
      <c r="U33" s="475"/>
      <c r="V33" s="475"/>
      <c r="W33" s="475"/>
      <c r="X33" s="475"/>
      <c r="Y33" s="475"/>
      <c r="Z33" s="476"/>
      <c r="AA33" s="430"/>
      <c r="AB33" s="431"/>
      <c r="AC33" s="432"/>
      <c r="AD33" s="430"/>
      <c r="AE33" s="431"/>
      <c r="AF33" s="432"/>
      <c r="AG33" s="430"/>
      <c r="AH33" s="431"/>
      <c r="AI33" s="432"/>
      <c r="AJ33" s="430"/>
      <c r="AK33" s="431"/>
      <c r="AL33" s="432"/>
      <c r="AM33" s="430"/>
      <c r="AN33" s="431"/>
      <c r="AO33" s="432"/>
      <c r="AP33" s="430"/>
      <c r="AQ33" s="431"/>
      <c r="AR33" s="432"/>
      <c r="AS33" s="361">
        <f>IF(D33="","",DA33)</f>
      </c>
      <c r="AT33" s="197"/>
      <c r="AU33" s="197"/>
      <c r="AV33" s="197"/>
      <c r="AW33" s="197"/>
      <c r="AX33" s="197"/>
      <c r="AY33" s="197"/>
      <c r="AZ33" s="197"/>
      <c r="BA33" s="197"/>
      <c r="BB33" s="197"/>
      <c r="BC33" s="197"/>
      <c r="BD33" s="197"/>
      <c r="BE33" s="197"/>
      <c r="BF33" s="197"/>
      <c r="BG33" s="197"/>
      <c r="BH33" s="197"/>
      <c r="BI33" s="197"/>
      <c r="BJ33" s="197"/>
      <c r="BK33" s="197"/>
      <c r="BL33" s="198"/>
      <c r="BM33" s="10">
        <f>IF(N33="",0,IF(OR(N33=0,N33=1,N33=2,N33=3,N33=4,N33=5),1,0))</f>
        <v>0</v>
      </c>
      <c r="BN33" s="86"/>
      <c r="BP33" s="87"/>
      <c r="BQ33" s="88"/>
      <c r="BR33" s="88"/>
      <c r="BS33" s="88"/>
      <c r="BT33" s="88"/>
      <c r="BU33" s="88"/>
      <c r="BV33" s="88"/>
      <c r="BW33" s="89"/>
      <c r="BX33" s="87"/>
      <c r="BY33" s="88"/>
      <c r="BZ33" s="89"/>
      <c r="CA33" s="87"/>
      <c r="CB33" s="88"/>
      <c r="CC33" s="88"/>
      <c r="CD33" s="89"/>
      <c r="CE33" s="90"/>
      <c r="CF33" s="88"/>
      <c r="CG33" s="91"/>
      <c r="CH33" s="113"/>
      <c r="CI33" s="93">
        <f aca="true" t="shared" si="4" ref="CI33:CS33">IF(BP34&gt;0,BP$24,"")</f>
      </c>
      <c r="CJ33" s="94">
        <f t="shared" si="4"/>
      </c>
      <c r="CK33" s="94">
        <f t="shared" si="4"/>
      </c>
      <c r="CL33" s="94">
        <f t="shared" si="4"/>
      </c>
      <c r="CM33" s="94">
        <f t="shared" si="4"/>
      </c>
      <c r="CN33" s="94">
        <f t="shared" si="4"/>
      </c>
      <c r="CO33" s="94">
        <f t="shared" si="4"/>
      </c>
      <c r="CP33" s="95">
        <f t="shared" si="4"/>
      </c>
      <c r="CQ33" s="96">
        <f t="shared" si="4"/>
      </c>
      <c r="CR33" s="94">
        <f t="shared" si="4"/>
      </c>
      <c r="CS33" s="95">
        <f t="shared" si="4"/>
      </c>
      <c r="CT33" s="114"/>
      <c r="CU33" s="115"/>
      <c r="CV33" s="115"/>
      <c r="CW33" s="116"/>
      <c r="CX33" s="117"/>
      <c r="CY33" s="117"/>
      <c r="CZ33" s="118"/>
      <c r="DA33" s="119">
        <f>CI33&amp;CJ33&amp;CK33&amp;CL33&amp;CM33&amp;CN33&amp;CO33&amp;CP33&amp;CQ33&amp;CR33&amp;CS33&amp;CT33&amp;CU33&amp;CV33&amp;CW33&amp;CX33&amp;CY33&amp;CZ33&amp;IF(AND(CH34&gt;0,BO34&gt;1),"＝合計","")</f>
      </c>
    </row>
    <row r="34" spans="1:105" ht="15" customHeight="1">
      <c r="A34" s="1"/>
      <c r="B34" s="204"/>
      <c r="C34" s="205"/>
      <c r="D34" s="424"/>
      <c r="E34" s="425"/>
      <c r="F34" s="425"/>
      <c r="G34" s="425"/>
      <c r="H34" s="425"/>
      <c r="I34" s="425"/>
      <c r="J34" s="425"/>
      <c r="K34" s="425"/>
      <c r="L34" s="425"/>
      <c r="M34" s="426"/>
      <c r="N34" s="427"/>
      <c r="O34" s="428"/>
      <c r="P34" s="429"/>
      <c r="Q34" s="459"/>
      <c r="R34" s="460"/>
      <c r="S34" s="460"/>
      <c r="T34" s="477"/>
      <c r="U34" s="478"/>
      <c r="V34" s="478"/>
      <c r="W34" s="478"/>
      <c r="X34" s="478"/>
      <c r="Y34" s="478"/>
      <c r="Z34" s="479"/>
      <c r="AA34" s="433"/>
      <c r="AB34" s="434"/>
      <c r="AC34" s="435"/>
      <c r="AD34" s="433"/>
      <c r="AE34" s="434"/>
      <c r="AF34" s="435"/>
      <c r="AG34" s="433"/>
      <c r="AH34" s="434"/>
      <c r="AI34" s="435"/>
      <c r="AJ34" s="433"/>
      <c r="AK34" s="434"/>
      <c r="AL34" s="435"/>
      <c r="AM34" s="433"/>
      <c r="AN34" s="434"/>
      <c r="AO34" s="435"/>
      <c r="AP34" s="433"/>
      <c r="AQ34" s="434"/>
      <c r="AR34" s="435"/>
      <c r="AS34" s="235">
        <f>IF(D33="","",DA34)</f>
      </c>
      <c r="AT34" s="236"/>
      <c r="AU34" s="236"/>
      <c r="AV34" s="236"/>
      <c r="AW34" s="236"/>
      <c r="AX34" s="236"/>
      <c r="AY34" s="236"/>
      <c r="AZ34" s="236"/>
      <c r="BA34" s="236"/>
      <c r="BB34" s="236"/>
      <c r="BC34" s="236"/>
      <c r="BD34" s="236"/>
      <c r="BE34" s="236"/>
      <c r="BF34" s="236"/>
      <c r="BG34" s="236"/>
      <c r="BH34" s="236"/>
      <c r="BI34" s="236"/>
      <c r="BJ34" s="236"/>
      <c r="BK34" s="236"/>
      <c r="BL34" s="237"/>
      <c r="BM34" s="10"/>
      <c r="BN34" s="86"/>
      <c r="BO34" s="6">
        <f>COUNTIF(BP34:CG34,"&gt;0")</f>
        <v>0</v>
      </c>
      <c r="BP34" s="100">
        <f>IF(AND($B$4="志賀山荘",D33&lt;&gt;""),IF($BM33=1,0,IF(OR($T33="本人",$T33="配偶者",$T33="子",$T33="父母",$T33="義父母",$T33="同居の親族",$T33="みつわ会会員"),$P$18,0)),0)</f>
        <v>0</v>
      </c>
      <c r="BQ34" s="101">
        <f>IF(AND($B$4="志賀山荘",D33&lt;&gt;""),IF($BM33=1,0,IF($T33="その他",$P$18,0)),0)</f>
        <v>0</v>
      </c>
      <c r="BR34" s="101">
        <f>IF(AND($B$4="志賀山荘",D33&lt;&gt;""),IF(AND(OR($T33="本人",$T33="配偶者",$T33="子",$T33="父母",$T33="義父母",$T33="同居の親族",$T33="みつわ会会員"),$BM33=1,$Q33="有"),$P$18,0),0)</f>
        <v>0</v>
      </c>
      <c r="BS34" s="101">
        <f>IF(AND($B$4="志賀山荘",D33&lt;&gt;""),IF(AND($T33="その他",$BM33=1,$Q33="有"),$P$18,0),0)</f>
        <v>0</v>
      </c>
      <c r="BT34" s="101">
        <f>IF(AND($B$4="志賀山荘",D33&lt;&gt;""),IF($BM33=0,0,IF($Q33="無",$P$18,0)),0)</f>
        <v>0</v>
      </c>
      <c r="BU34" s="101">
        <f>IF(AND($B$4="志賀山荘",D33&lt;&gt;""),IF(OR($BM$18&gt;10,$BM$18&lt;4),IF($BT34=0,IF(SUM(BP34:BS34)&gt;0,$P$18,0),0),0),0)</f>
        <v>0</v>
      </c>
      <c r="BV34" s="101">
        <f>IF(AND($B$4="志賀山荘",D33&lt;&gt;""),COUNTIF($AA33,"○")+COUNTIF($AG33,"○")+COUNTIF($AM33,"○"),0)</f>
        <v>0</v>
      </c>
      <c r="BW34" s="102">
        <f>IF(AND($B$4="志賀山荘",D33&lt;&gt;""),COUNTIF($AD33,"○")+COUNTIF($AJ33,"○")+COUNTIF($AP33,"○"),0)</f>
        <v>0</v>
      </c>
      <c r="BX34" s="100">
        <f>IF(AND($B$4="勝浦ﾎﾃﾙ三日月",D33&lt;&gt;""),IF(AND(COUNTA($T33)=1,$BM33=1),IF(Q33="無",0,$P$18),$P$18),0)</f>
        <v>0</v>
      </c>
      <c r="BY34" s="101">
        <f>IF(AND($B$4="勝浦ﾎﾃﾙ三日月",D33&lt;&gt;""),IF(AND(COUNTA($T33)=1,$BM33=1,Q33="無"),$P$18,0),0)</f>
        <v>0</v>
      </c>
      <c r="BZ34" s="102">
        <f>IF(AND($B$4="勝浦ﾎﾃﾙ三日月",D33&lt;&gt;""),IF(AND(COUNTA($T33)=1,$N33&gt;11),$P$18,0),0)</f>
        <v>0</v>
      </c>
      <c r="CA34" s="100">
        <f>IF(AND($B11="ﾙｽﾂA.宿泊ﾊﾟｯｸ",D33&lt;&gt;""),$J11,0)</f>
        <v>0</v>
      </c>
      <c r="CB34" s="101">
        <f>IF(AND($B12="ﾙｽﾂB.宿泊券",D33&lt;&gt;""),$J12,0)</f>
        <v>0</v>
      </c>
      <c r="CC34" s="101">
        <f>IF(AND($B13="ﾙｽﾂC.割引券",D33&lt;&gt;""),$J13,0)</f>
        <v>0</v>
      </c>
      <c r="CD34" s="102">
        <f>IF(AND($B14="ﾙｽﾂD.ﾎﾟｲﾝﾄ券",D33&lt;&gt;""),$J14,0)</f>
        <v>0</v>
      </c>
      <c r="CE34" s="103">
        <f>IF(AND($B10="ｽｶｲﾊﾟｰｸﾎﾃﾙ",D33&lt;&gt;""),$J10,0)</f>
        <v>0</v>
      </c>
      <c r="CF34" s="101">
        <f>IF(AND($B10="穂高ﾋﾞｭｰﾎﾃﾙ",D33&lt;&gt;""),$J10,0)</f>
        <v>0</v>
      </c>
      <c r="CG34" s="104">
        <f>IF(AND($B10="由布院倶楽部",D33&lt;&gt;""),$J10,0)</f>
        <v>0</v>
      </c>
      <c r="CH34" s="105">
        <f>SUM(BP$25*BP34,BQ$25*BQ34,BR$25*BR34,BS$25*BS34,BT$25*BT34,BU$25*BU34,BV$25*BV34,BW$25*BW34,BX$25*BX34,BY$25*BY34,BZ$25*BZ34,CA$25*CA34,CB$25*CB34,CC$25*CC34,CD$25*CD34,CE$25*CE34,CF$25*CF34,CG$25*CG34)</f>
        <v>0</v>
      </c>
      <c r="CI34" s="106">
        <f>IF(BP34&gt;0,TEXT(BP$25*BP34,"\#,##0"),"")</f>
      </c>
      <c r="CJ34" s="107">
        <f>IF(BQ34&gt;0,TEXT(BQ$25*BQ34,"\#,##0"),"")</f>
      </c>
      <c r="CK34" s="107">
        <f>IF(BR34&gt;0,TEXT(BR$25*BR34,"\#,##0"),"")</f>
      </c>
      <c r="CL34" s="107">
        <f>IF(BS34&gt;0,TEXT(BS$25*BS34,"\#,##0"),"")</f>
      </c>
      <c r="CM34" s="107">
        <f>IF(BT34&gt;0,TEXT(BT$25*BT34,"\#,##0"),"")</f>
      </c>
      <c r="CN34" s="107">
        <f>IF(BU34&gt;0,TEXT(BU$25*BU34,"+\#,##0"),"")</f>
      </c>
      <c r="CO34" s="107">
        <f>IF(BV34&gt;0,TEXT(BV$25*BV34,"+\#,##0"),"")</f>
      </c>
      <c r="CP34" s="108">
        <f>IF(BW34&gt;0,TEXT(BW$25*BW34,"+\#,##0"),"")</f>
      </c>
      <c r="CQ34" s="109">
        <f>IF(BX34&gt;0,TEXT(BX$25*BX34,"\#,##0"),"")</f>
      </c>
      <c r="CR34" s="107">
        <f>IF(BY34&gt;0,TEXT(BY$25*BY34,"\#,##0"),"")</f>
      </c>
      <c r="CS34" s="108">
        <f>IF(BZ34&gt;0,TEXT(BZ$25*BZ34,"+\#,##0"),"")</f>
      </c>
      <c r="CT34" s="120"/>
      <c r="CU34" s="121"/>
      <c r="CV34" s="121"/>
      <c r="CW34" s="122"/>
      <c r="CX34" s="123"/>
      <c r="CY34" s="123"/>
      <c r="CZ34" s="124"/>
      <c r="DA34" s="112" t="str">
        <f>IF(CH34=0,"- ",CI34&amp;CJ34&amp;CK34&amp;CL34&amp;CM34&amp;CN34&amp;CO34&amp;CP34&amp;CQ34&amp;CR34&amp;CS34&amp;CT34&amp;CU34&amp;CV34&amp;CW34&amp;CX34&amp;CY34&amp;CZ34&amp;IF(BO34&gt;1,TEXT(CH34,"=\#,##0"),""))</f>
        <v>- </v>
      </c>
    </row>
    <row r="35" spans="1:105" ht="15" customHeight="1">
      <c r="A35" s="1"/>
      <c r="B35" s="204"/>
      <c r="C35" s="205"/>
      <c r="D35" s="421"/>
      <c r="E35" s="422"/>
      <c r="F35" s="422"/>
      <c r="G35" s="422"/>
      <c r="H35" s="422"/>
      <c r="I35" s="422"/>
      <c r="J35" s="422"/>
      <c r="K35" s="422"/>
      <c r="L35" s="422"/>
      <c r="M35" s="423"/>
      <c r="N35" s="427"/>
      <c r="O35" s="428"/>
      <c r="P35" s="429"/>
      <c r="Q35" s="457"/>
      <c r="R35" s="458"/>
      <c r="S35" s="458"/>
      <c r="T35" s="474"/>
      <c r="U35" s="475"/>
      <c r="V35" s="475"/>
      <c r="W35" s="475"/>
      <c r="X35" s="475"/>
      <c r="Y35" s="475"/>
      <c r="Z35" s="476"/>
      <c r="AA35" s="430"/>
      <c r="AB35" s="431"/>
      <c r="AC35" s="432"/>
      <c r="AD35" s="430"/>
      <c r="AE35" s="431"/>
      <c r="AF35" s="432"/>
      <c r="AG35" s="430"/>
      <c r="AH35" s="431"/>
      <c r="AI35" s="432"/>
      <c r="AJ35" s="430"/>
      <c r="AK35" s="431"/>
      <c r="AL35" s="432"/>
      <c r="AM35" s="430"/>
      <c r="AN35" s="431"/>
      <c r="AO35" s="432"/>
      <c r="AP35" s="430"/>
      <c r="AQ35" s="431"/>
      <c r="AR35" s="432"/>
      <c r="AS35" s="361">
        <f>IF(D35="","",DA35)</f>
      </c>
      <c r="AT35" s="197"/>
      <c r="AU35" s="197"/>
      <c r="AV35" s="197"/>
      <c r="AW35" s="197"/>
      <c r="AX35" s="197"/>
      <c r="AY35" s="197"/>
      <c r="AZ35" s="197"/>
      <c r="BA35" s="197"/>
      <c r="BB35" s="197"/>
      <c r="BC35" s="197"/>
      <c r="BD35" s="197"/>
      <c r="BE35" s="197"/>
      <c r="BF35" s="197"/>
      <c r="BG35" s="197"/>
      <c r="BH35" s="197"/>
      <c r="BI35" s="197"/>
      <c r="BJ35" s="197"/>
      <c r="BK35" s="197"/>
      <c r="BL35" s="198"/>
      <c r="BM35" s="10">
        <f>IF(N35="",0,IF(OR(N35=0,N35=1,N35=2,N35=3,N35=4,N35=5),1,0))</f>
        <v>0</v>
      </c>
      <c r="BN35" s="86"/>
      <c r="BP35" s="87"/>
      <c r="BQ35" s="88"/>
      <c r="BR35" s="88"/>
      <c r="BS35" s="88"/>
      <c r="BT35" s="88"/>
      <c r="BU35" s="88"/>
      <c r="BV35" s="88"/>
      <c r="BW35" s="89"/>
      <c r="BX35" s="87"/>
      <c r="BY35" s="88"/>
      <c r="BZ35" s="89"/>
      <c r="CA35" s="87"/>
      <c r="CB35" s="88"/>
      <c r="CC35" s="88"/>
      <c r="CD35" s="89"/>
      <c r="CE35" s="90"/>
      <c r="CF35" s="88"/>
      <c r="CG35" s="91"/>
      <c r="CH35" s="113"/>
      <c r="CI35" s="93">
        <f aca="true" t="shared" si="5" ref="CI35:CS35">IF(BP36&gt;0,BP$24,"")</f>
      </c>
      <c r="CJ35" s="94">
        <f t="shared" si="5"/>
      </c>
      <c r="CK35" s="94">
        <f t="shared" si="5"/>
      </c>
      <c r="CL35" s="94">
        <f t="shared" si="5"/>
      </c>
      <c r="CM35" s="94">
        <f t="shared" si="5"/>
      </c>
      <c r="CN35" s="94">
        <f t="shared" si="5"/>
      </c>
      <c r="CO35" s="94">
        <f t="shared" si="5"/>
      </c>
      <c r="CP35" s="95">
        <f t="shared" si="5"/>
      </c>
      <c r="CQ35" s="96">
        <f t="shared" si="5"/>
      </c>
      <c r="CR35" s="94">
        <f t="shared" si="5"/>
      </c>
      <c r="CS35" s="95">
        <f t="shared" si="5"/>
      </c>
      <c r="CT35" s="114"/>
      <c r="CU35" s="115"/>
      <c r="CV35" s="115"/>
      <c r="CW35" s="116"/>
      <c r="CX35" s="117"/>
      <c r="CY35" s="117"/>
      <c r="CZ35" s="118"/>
      <c r="DA35" s="119">
        <f>CI35&amp;CJ35&amp;CK35&amp;CL35&amp;CM35&amp;CN35&amp;CO35&amp;CP35&amp;CQ35&amp;CR35&amp;CS35&amp;CT35&amp;CU35&amp;CV35&amp;CW35&amp;CX35&amp;CY35&amp;CZ35&amp;IF(AND(CH36&gt;0,BO36&gt;1),"＝合計","")</f>
      </c>
    </row>
    <row r="36" spans="1:105" ht="15" customHeight="1">
      <c r="A36" s="1"/>
      <c r="B36" s="204"/>
      <c r="C36" s="205"/>
      <c r="D36" s="424"/>
      <c r="E36" s="425"/>
      <c r="F36" s="425"/>
      <c r="G36" s="425"/>
      <c r="H36" s="425"/>
      <c r="I36" s="425"/>
      <c r="J36" s="425"/>
      <c r="K36" s="425"/>
      <c r="L36" s="425"/>
      <c r="M36" s="426"/>
      <c r="N36" s="427"/>
      <c r="O36" s="428"/>
      <c r="P36" s="429"/>
      <c r="Q36" s="459"/>
      <c r="R36" s="460"/>
      <c r="S36" s="460"/>
      <c r="T36" s="477"/>
      <c r="U36" s="478"/>
      <c r="V36" s="478"/>
      <c r="W36" s="478"/>
      <c r="X36" s="478"/>
      <c r="Y36" s="478"/>
      <c r="Z36" s="479"/>
      <c r="AA36" s="433"/>
      <c r="AB36" s="434"/>
      <c r="AC36" s="435"/>
      <c r="AD36" s="433"/>
      <c r="AE36" s="434"/>
      <c r="AF36" s="435"/>
      <c r="AG36" s="433"/>
      <c r="AH36" s="434"/>
      <c r="AI36" s="435"/>
      <c r="AJ36" s="433"/>
      <c r="AK36" s="434"/>
      <c r="AL36" s="435"/>
      <c r="AM36" s="433"/>
      <c r="AN36" s="434"/>
      <c r="AO36" s="435"/>
      <c r="AP36" s="433"/>
      <c r="AQ36" s="434"/>
      <c r="AR36" s="435"/>
      <c r="AS36" s="235">
        <f>IF(D35="","",DA36)</f>
      </c>
      <c r="AT36" s="236"/>
      <c r="AU36" s="236"/>
      <c r="AV36" s="236"/>
      <c r="AW36" s="236"/>
      <c r="AX36" s="236"/>
      <c r="AY36" s="236"/>
      <c r="AZ36" s="236"/>
      <c r="BA36" s="236"/>
      <c r="BB36" s="236"/>
      <c r="BC36" s="236"/>
      <c r="BD36" s="236"/>
      <c r="BE36" s="236"/>
      <c r="BF36" s="236"/>
      <c r="BG36" s="236"/>
      <c r="BH36" s="236"/>
      <c r="BI36" s="236"/>
      <c r="BJ36" s="236"/>
      <c r="BK36" s="236"/>
      <c r="BL36" s="237"/>
      <c r="BM36" s="10"/>
      <c r="BN36" s="86"/>
      <c r="BO36" s="6">
        <f>COUNTIF(BP36:CG36,"&gt;0")</f>
        <v>0</v>
      </c>
      <c r="BP36" s="100">
        <f>IF(AND($B$4="志賀山荘",D35&lt;&gt;""),IF($BM35=1,0,IF(OR($T35="本人",$T35="配偶者",$T35="子",$T35="父母",$T35="義父母",$T35="同居の親族",$T35="みつわ会会員"),$P$18,0)),0)</f>
        <v>0</v>
      </c>
      <c r="BQ36" s="101">
        <f>IF(AND($B$4="志賀山荘",D35&lt;&gt;""),IF($BM35=1,0,IF($T35="その他",$P$18,0)),0)</f>
        <v>0</v>
      </c>
      <c r="BR36" s="101">
        <f>IF(AND($B$4="志賀山荘",D35&lt;&gt;""),IF(AND(OR($T35="本人",$T35="配偶者",$T35="子",$T35="父母",$T35="義父母",$T35="同居の親族",$T35="みつわ会会員"),$BM35=1,$Q35="有"),$P$18,0),0)</f>
        <v>0</v>
      </c>
      <c r="BS36" s="101">
        <f>IF(AND($B$4="志賀山荘",D35&lt;&gt;""),IF(AND($T35="その他",$BM35=1,$Q35="有"),$P$18,0),0)</f>
        <v>0</v>
      </c>
      <c r="BT36" s="101">
        <f>IF(AND($B$4="志賀山荘",D35&lt;&gt;""),IF($BM35=0,0,IF($Q35="無",$P$18,0)),0)</f>
        <v>0</v>
      </c>
      <c r="BU36" s="101">
        <f>IF(AND($B$4="志賀山荘",D35&lt;&gt;""),IF(OR($BM$18&gt;10,$BM$18&lt;4),IF($BT36=0,IF(SUM(BP36:BS36)&gt;0,$P$18,0),0),0),0)</f>
        <v>0</v>
      </c>
      <c r="BV36" s="101">
        <f>IF(AND($B$4="志賀山荘",D35&lt;&gt;""),COUNTIF($AA35,"○")+COUNTIF($AG35,"○")+COUNTIF($AM35,"○"),0)</f>
        <v>0</v>
      </c>
      <c r="BW36" s="102">
        <f>IF(AND($B$4="志賀山荘",D35&lt;&gt;""),COUNTIF($AD35,"○")+COUNTIF($AJ35,"○")+COUNTIF($AP35,"○"),0)</f>
        <v>0</v>
      </c>
      <c r="BX36" s="100">
        <f>IF(AND($B$4="勝浦ﾎﾃﾙ三日月",D35&lt;&gt;""),IF(AND(COUNTA($T35)=1,$BM35=1),IF(Q35="無",0,$P$18),$P$18),0)</f>
        <v>0</v>
      </c>
      <c r="BY36" s="101">
        <f>IF(AND($B$4="勝浦ﾎﾃﾙ三日月",D35&lt;&gt;""),IF(AND(COUNTA($T35)=1,$BM35=1,Q35="無"),$P$18,0),0)</f>
        <v>0</v>
      </c>
      <c r="BZ36" s="102">
        <f>IF(AND($B$4="勝浦ﾎﾃﾙ三日月",D35&lt;&gt;""),IF(AND(COUNTA($T35)=1,$N35&gt;11),$P$18,0),0)</f>
        <v>0</v>
      </c>
      <c r="CA36" s="100">
        <f>IF(AND($B13="ﾙｽﾂA.宿泊ﾊﾟｯｸ",D35&lt;&gt;""),$J13,0)</f>
        <v>0</v>
      </c>
      <c r="CB36" s="101">
        <f>IF(AND($B14="ﾙｽﾂB.宿泊券",D35&lt;&gt;""),$J14,0)</f>
        <v>0</v>
      </c>
      <c r="CC36" s="101">
        <f>IF(AND($B15="ﾙｽﾂC.割引券",D35&lt;&gt;""),$J15,0)</f>
        <v>0</v>
      </c>
      <c r="CD36" s="102">
        <f>IF(AND($B16="ﾙｽﾂD.ﾎﾟｲﾝﾄ券",D35&lt;&gt;""),$J16,0)</f>
        <v>0</v>
      </c>
      <c r="CE36" s="103">
        <f>IF(AND($B12="ｽｶｲﾊﾟｰｸﾎﾃﾙ",D35&lt;&gt;""),$J12,0)</f>
        <v>0</v>
      </c>
      <c r="CF36" s="101">
        <f>IF(AND($B12="穂高ﾋﾞｭｰﾎﾃﾙ",D35&lt;&gt;""),$J12,0)</f>
        <v>0</v>
      </c>
      <c r="CG36" s="104">
        <f>IF(AND($B12="由布院倶楽部",D35&lt;&gt;""),$J12,0)</f>
        <v>0</v>
      </c>
      <c r="CH36" s="105">
        <f>SUM(BP$25*BP36,BQ$25*BQ36,BR$25*BR36,BS$25*BS36,BT$25*BT36,BU$25*BU36,BV$25*BV36,BW$25*BW36,BX$25*BX36,BY$25*BY36,BZ$25*BZ36,CA$25*CA36,CB$25*CB36,CC$25*CC36,CD$25*CD36,CE$25*CE36,CF$25*CF36,CG$25*CG36)</f>
        <v>0</v>
      </c>
      <c r="CI36" s="106">
        <f>IF(BP36&gt;0,TEXT(BP$25*BP36,"\#,##0"),"")</f>
      </c>
      <c r="CJ36" s="107">
        <f>IF(BQ36&gt;0,TEXT(BQ$25*BQ36,"\#,##0"),"")</f>
      </c>
      <c r="CK36" s="107">
        <f>IF(BR36&gt;0,TEXT(BR$25*BR36,"\#,##0"),"")</f>
      </c>
      <c r="CL36" s="107">
        <f>IF(BS36&gt;0,TEXT(BS$25*BS36,"\#,##0"),"")</f>
      </c>
      <c r="CM36" s="107">
        <f>IF(BT36&gt;0,TEXT(BT$25*BT36,"\#,##0"),"")</f>
      </c>
      <c r="CN36" s="107">
        <f>IF(BU36&gt;0,TEXT(BU$25*BU36,"+\#,##0"),"")</f>
      </c>
      <c r="CO36" s="107">
        <f>IF(BV36&gt;0,TEXT(BV$25*BV36,"+\#,##0"),"")</f>
      </c>
      <c r="CP36" s="108">
        <f>IF(BW36&gt;0,TEXT(BW$25*BW36,"+\#,##0"),"")</f>
      </c>
      <c r="CQ36" s="109">
        <f>IF(BX36&gt;0,TEXT(BX$25*BX36,"\#,##0"),"")</f>
      </c>
      <c r="CR36" s="107">
        <f>IF(BY36&gt;0,TEXT(BY$25*BY36,"\#,##0"),"")</f>
      </c>
      <c r="CS36" s="108">
        <f>IF(BZ36&gt;0,TEXT(BZ$25*BZ36,"+\#,##0"),"")</f>
      </c>
      <c r="CT36" s="120"/>
      <c r="CU36" s="121"/>
      <c r="CV36" s="121"/>
      <c r="CW36" s="122"/>
      <c r="CX36" s="123"/>
      <c r="CY36" s="123"/>
      <c r="CZ36" s="124"/>
      <c r="DA36" s="112" t="str">
        <f>IF(CH36=0,"- ",CI36&amp;CJ36&amp;CK36&amp;CL36&amp;CM36&amp;CN36&amp;CO36&amp;CP36&amp;CQ36&amp;CR36&amp;CS36&amp;CT36&amp;CU36&amp;CV36&amp;CW36&amp;CX36&amp;CY36&amp;CZ36&amp;IF(BO36&gt;1,TEXT(CH36,"=\#,##0"),""))</f>
        <v>- </v>
      </c>
    </row>
    <row r="37" spans="1:105" ht="15" customHeight="1">
      <c r="A37" s="1"/>
      <c r="B37" s="204"/>
      <c r="C37" s="205"/>
      <c r="D37" s="421"/>
      <c r="E37" s="422"/>
      <c r="F37" s="422"/>
      <c r="G37" s="422"/>
      <c r="H37" s="422"/>
      <c r="I37" s="422"/>
      <c r="J37" s="422"/>
      <c r="K37" s="422"/>
      <c r="L37" s="422"/>
      <c r="M37" s="423"/>
      <c r="N37" s="427"/>
      <c r="O37" s="428"/>
      <c r="P37" s="429"/>
      <c r="Q37" s="457"/>
      <c r="R37" s="458"/>
      <c r="S37" s="458"/>
      <c r="T37" s="474"/>
      <c r="U37" s="475"/>
      <c r="V37" s="475"/>
      <c r="W37" s="475"/>
      <c r="X37" s="475"/>
      <c r="Y37" s="475"/>
      <c r="Z37" s="476"/>
      <c r="AA37" s="430"/>
      <c r="AB37" s="431"/>
      <c r="AC37" s="432"/>
      <c r="AD37" s="430"/>
      <c r="AE37" s="431"/>
      <c r="AF37" s="432"/>
      <c r="AG37" s="430"/>
      <c r="AH37" s="431"/>
      <c r="AI37" s="432"/>
      <c r="AJ37" s="430"/>
      <c r="AK37" s="431"/>
      <c r="AL37" s="432"/>
      <c r="AM37" s="430"/>
      <c r="AN37" s="431"/>
      <c r="AO37" s="432"/>
      <c r="AP37" s="430"/>
      <c r="AQ37" s="431"/>
      <c r="AR37" s="432"/>
      <c r="AS37" s="361">
        <f>IF(D37="","",DA37)</f>
      </c>
      <c r="AT37" s="197"/>
      <c r="AU37" s="197"/>
      <c r="AV37" s="197"/>
      <c r="AW37" s="197"/>
      <c r="AX37" s="197"/>
      <c r="AY37" s="197"/>
      <c r="AZ37" s="197"/>
      <c r="BA37" s="197"/>
      <c r="BB37" s="197"/>
      <c r="BC37" s="197"/>
      <c r="BD37" s="197"/>
      <c r="BE37" s="197"/>
      <c r="BF37" s="197"/>
      <c r="BG37" s="197"/>
      <c r="BH37" s="197"/>
      <c r="BI37" s="197"/>
      <c r="BJ37" s="197"/>
      <c r="BK37" s="197"/>
      <c r="BL37" s="198"/>
      <c r="BM37" s="10">
        <f>IF(N37="",0,IF(OR(N37=0,N37=1,N37=2,N37=3,N37=4,N37=5),1,0))</f>
        <v>0</v>
      </c>
      <c r="BN37" s="86"/>
      <c r="BP37" s="87"/>
      <c r="BQ37" s="88"/>
      <c r="BR37" s="88"/>
      <c r="BS37" s="88"/>
      <c r="BT37" s="88"/>
      <c r="BU37" s="88"/>
      <c r="BV37" s="88"/>
      <c r="BW37" s="89"/>
      <c r="BX37" s="87"/>
      <c r="BY37" s="88"/>
      <c r="BZ37" s="89"/>
      <c r="CA37" s="87"/>
      <c r="CB37" s="88"/>
      <c r="CC37" s="88"/>
      <c r="CD37" s="89"/>
      <c r="CE37" s="90"/>
      <c r="CF37" s="88"/>
      <c r="CG37" s="91"/>
      <c r="CH37" s="113"/>
      <c r="CI37" s="93">
        <f aca="true" t="shared" si="6" ref="CI37:CS37">IF(BP38&gt;0,BP$24,"")</f>
      </c>
      <c r="CJ37" s="94">
        <f t="shared" si="6"/>
      </c>
      <c r="CK37" s="94">
        <f t="shared" si="6"/>
      </c>
      <c r="CL37" s="94">
        <f t="shared" si="6"/>
      </c>
      <c r="CM37" s="94">
        <f t="shared" si="6"/>
      </c>
      <c r="CN37" s="94">
        <f t="shared" si="6"/>
      </c>
      <c r="CO37" s="94">
        <f t="shared" si="6"/>
      </c>
      <c r="CP37" s="95">
        <f t="shared" si="6"/>
      </c>
      <c r="CQ37" s="96">
        <f t="shared" si="6"/>
      </c>
      <c r="CR37" s="94">
        <f t="shared" si="6"/>
      </c>
      <c r="CS37" s="95">
        <f t="shared" si="6"/>
      </c>
      <c r="CT37" s="114"/>
      <c r="CU37" s="115"/>
      <c r="CV37" s="115"/>
      <c r="CW37" s="116"/>
      <c r="CX37" s="117"/>
      <c r="CY37" s="117"/>
      <c r="CZ37" s="118"/>
      <c r="DA37" s="119">
        <f>CI37&amp;CJ37&amp;CK37&amp;CL37&amp;CM37&amp;CN37&amp;CO37&amp;CP37&amp;CQ37&amp;CR37&amp;CS37&amp;CT37&amp;CU37&amp;CV37&amp;CW37&amp;CX37&amp;CY37&amp;CZ37&amp;IF(AND(CH38&gt;0,BO38&gt;1),"＝合計","")</f>
      </c>
    </row>
    <row r="38" spans="1:105" ht="15" customHeight="1">
      <c r="A38" s="1"/>
      <c r="B38" s="204"/>
      <c r="C38" s="205"/>
      <c r="D38" s="424"/>
      <c r="E38" s="425"/>
      <c r="F38" s="425"/>
      <c r="G38" s="425"/>
      <c r="H38" s="425"/>
      <c r="I38" s="425"/>
      <c r="J38" s="425"/>
      <c r="K38" s="425"/>
      <c r="L38" s="425"/>
      <c r="M38" s="426"/>
      <c r="N38" s="427"/>
      <c r="O38" s="428"/>
      <c r="P38" s="429"/>
      <c r="Q38" s="459"/>
      <c r="R38" s="460"/>
      <c r="S38" s="460"/>
      <c r="T38" s="477"/>
      <c r="U38" s="478"/>
      <c r="V38" s="478"/>
      <c r="W38" s="478"/>
      <c r="X38" s="478"/>
      <c r="Y38" s="478"/>
      <c r="Z38" s="479"/>
      <c r="AA38" s="433"/>
      <c r="AB38" s="434"/>
      <c r="AC38" s="435"/>
      <c r="AD38" s="433"/>
      <c r="AE38" s="434"/>
      <c r="AF38" s="435"/>
      <c r="AG38" s="433"/>
      <c r="AH38" s="434"/>
      <c r="AI38" s="435"/>
      <c r="AJ38" s="433"/>
      <c r="AK38" s="434"/>
      <c r="AL38" s="435"/>
      <c r="AM38" s="433"/>
      <c r="AN38" s="434"/>
      <c r="AO38" s="435"/>
      <c r="AP38" s="433"/>
      <c r="AQ38" s="434"/>
      <c r="AR38" s="435"/>
      <c r="AS38" s="235">
        <f>IF(D37="","",DA38)</f>
      </c>
      <c r="AT38" s="236"/>
      <c r="AU38" s="236"/>
      <c r="AV38" s="236"/>
      <c r="AW38" s="236"/>
      <c r="AX38" s="236"/>
      <c r="AY38" s="236"/>
      <c r="AZ38" s="236"/>
      <c r="BA38" s="236"/>
      <c r="BB38" s="236"/>
      <c r="BC38" s="236"/>
      <c r="BD38" s="236"/>
      <c r="BE38" s="236"/>
      <c r="BF38" s="236"/>
      <c r="BG38" s="236"/>
      <c r="BH38" s="236"/>
      <c r="BI38" s="236"/>
      <c r="BJ38" s="236"/>
      <c r="BK38" s="236"/>
      <c r="BL38" s="237"/>
      <c r="BM38" s="10"/>
      <c r="BN38" s="86"/>
      <c r="BO38" s="6">
        <f>COUNTIF(BP38:CG38,"&gt;0")</f>
        <v>0</v>
      </c>
      <c r="BP38" s="100">
        <f>IF(AND($B$4="志賀山荘",D37&lt;&gt;""),IF($BM37=1,0,IF(OR($T37="本人",$T37="配偶者",$T37="子",$T37="父母",$T37="義父母",$T37="同居の親族",$T37="みつわ会会員"),$P$18,0)),0)</f>
        <v>0</v>
      </c>
      <c r="BQ38" s="101">
        <f>IF(AND($B$4="志賀山荘",D37&lt;&gt;""),IF($BM37=1,0,IF($T37="その他",$P$18,0)),0)</f>
        <v>0</v>
      </c>
      <c r="BR38" s="101">
        <f>IF(AND($B$4="志賀山荘",D37&lt;&gt;""),IF(AND(OR($T37="本人",$T37="配偶者",$T37="子",$T37="父母",$T37="義父母",$T37="同居の親族",$T37="みつわ会会員"),$BM37=1,$Q37="有"),$P$18,0),0)</f>
        <v>0</v>
      </c>
      <c r="BS38" s="101">
        <f>IF(AND($B$4="志賀山荘",D37&lt;&gt;""),IF(AND($T37="その他",$BM37=1,$Q37="有"),$P$18,0),0)</f>
        <v>0</v>
      </c>
      <c r="BT38" s="101">
        <f>IF(AND($B$4="志賀山荘",D37&lt;&gt;""),IF($BM37=0,0,IF($Q37="無",$P$18,0)),0)</f>
        <v>0</v>
      </c>
      <c r="BU38" s="101">
        <f>IF(AND($B$4="志賀山荘",D37&lt;&gt;""),IF(OR($BM$18&gt;10,$BM$18&lt;4),IF($BT38=0,IF(SUM(BP38:BS38)&gt;0,$P$18,0),0),0),0)</f>
        <v>0</v>
      </c>
      <c r="BV38" s="101">
        <f>IF(AND($B$4="志賀山荘",D37&lt;&gt;""),COUNTIF($AA37,"○")+COUNTIF($AG37,"○")+COUNTIF($AM37,"○"),0)</f>
        <v>0</v>
      </c>
      <c r="BW38" s="102">
        <f>IF(AND($B$4="志賀山荘",D37&lt;&gt;""),COUNTIF($AD37,"○")+COUNTIF($AJ37,"○")+COUNTIF($AP37,"○"),0)</f>
        <v>0</v>
      </c>
      <c r="BX38" s="100">
        <f>IF(AND($B$4="勝浦ﾎﾃﾙ三日月",D37&lt;&gt;""),IF(AND(COUNTA($T37)=1,$BM37=1),IF(Q37="無",0,$P$18),$P$18),0)</f>
        <v>0</v>
      </c>
      <c r="BY38" s="101">
        <f>IF(AND($B$4="勝浦ﾎﾃﾙ三日月",D37&lt;&gt;""),IF(AND(COUNTA($T37)=1,$BM37=1,Q37="無"),$P$18,0),0)</f>
        <v>0</v>
      </c>
      <c r="BZ38" s="102">
        <f>IF(AND($B$4="勝浦ﾎﾃﾙ三日月",D37&lt;&gt;""),IF(AND(COUNTA($T37)=1,$N37&gt;11),$P$18,0),0)</f>
        <v>0</v>
      </c>
      <c r="CA38" s="100">
        <f>IF(AND($B15="ﾙｽﾂA.宿泊ﾊﾟｯｸ",D37&lt;&gt;""),$J15,0)</f>
        <v>0</v>
      </c>
      <c r="CB38" s="101">
        <f>IF(AND($B16="ﾙｽﾂB.宿泊券",D37&lt;&gt;""),$J16,0)</f>
        <v>0</v>
      </c>
      <c r="CC38" s="101">
        <f>IF(AND($B17="ﾙｽﾂC.割引券",D37&lt;&gt;""),$J17,0)</f>
        <v>0</v>
      </c>
      <c r="CD38" s="102">
        <f>IF(AND($B18="ﾙｽﾂD.ﾎﾟｲﾝﾄ券",D37&lt;&gt;""),$J18,0)</f>
        <v>0</v>
      </c>
      <c r="CE38" s="103">
        <f>IF(AND($B14="ｽｶｲﾊﾟｰｸﾎﾃﾙ",D37&lt;&gt;""),$J14,0)</f>
        <v>0</v>
      </c>
      <c r="CF38" s="101">
        <f>IF(AND($B14="穂高ﾋﾞｭｰﾎﾃﾙ",D37&lt;&gt;""),$J14,0)</f>
        <v>0</v>
      </c>
      <c r="CG38" s="104">
        <f>IF(AND($B14="由布院倶楽部",D37&lt;&gt;""),$J14,0)</f>
        <v>0</v>
      </c>
      <c r="CH38" s="105">
        <f>SUM(BP$25*BP38,BQ$25*BQ38,BR$25*BR38,BS$25*BS38,BT$25*BT38,BU$25*BU38,BV$25*BV38,BW$25*BW38,BX$25*BX38,BY$25*BY38,BZ$25*BZ38,CA$25*CA38,CB$25*CB38,CC$25*CC38,CD$25*CD38,CE$25*CE38,CF$25*CF38,CG$25*CG38)</f>
        <v>0</v>
      </c>
      <c r="CI38" s="106">
        <f>IF(BP38&gt;0,TEXT(BP$25*BP38,"\#,##0"),"")</f>
      </c>
      <c r="CJ38" s="107">
        <f>IF(BQ38&gt;0,TEXT(BQ$25*BQ38,"\#,##0"),"")</f>
      </c>
      <c r="CK38" s="107">
        <f>IF(BR38&gt;0,TEXT(BR$25*BR38,"\#,##0"),"")</f>
      </c>
      <c r="CL38" s="107">
        <f>IF(BS38&gt;0,TEXT(BS$25*BS38,"\#,##0"),"")</f>
      </c>
      <c r="CM38" s="107">
        <f>IF(BT38&gt;0,TEXT(BT$25*BT38,"\#,##0"),"")</f>
      </c>
      <c r="CN38" s="107">
        <f>IF(BU38&gt;0,TEXT(BU$25*BU38,"+\#,##0"),"")</f>
      </c>
      <c r="CO38" s="107">
        <f>IF(BV38&gt;0,TEXT(BV$25*BV38,"+\#,##0"),"")</f>
      </c>
      <c r="CP38" s="108">
        <f>IF(BW38&gt;0,TEXT(BW$25*BW38,"+\#,##0"),"")</f>
      </c>
      <c r="CQ38" s="109">
        <f>IF(BX38&gt;0,TEXT(BX$25*BX38,"\#,##0"),"")</f>
      </c>
      <c r="CR38" s="107">
        <f>IF(BY38&gt;0,TEXT(BY$25*BY38,"\#,##0"),"")</f>
      </c>
      <c r="CS38" s="108">
        <f>IF(BZ38&gt;0,TEXT(BZ$25*BZ38,"+\#,##0"),"")</f>
      </c>
      <c r="CT38" s="120"/>
      <c r="CU38" s="121"/>
      <c r="CV38" s="121"/>
      <c r="CW38" s="122"/>
      <c r="CX38" s="123"/>
      <c r="CY38" s="123"/>
      <c r="CZ38" s="124"/>
      <c r="DA38" s="112" t="str">
        <f>IF(CH38=0,"- ",CI38&amp;CJ38&amp;CK38&amp;CL38&amp;CM38&amp;CN38&amp;CO38&amp;CP38&amp;CQ38&amp;CR38&amp;CS38&amp;CT38&amp;CU38&amp;CV38&amp;CW38&amp;CX38&amp;CY38&amp;CZ38&amp;IF(BO38&gt;1,TEXT(CH38,"=\#,##0"),""))</f>
        <v>- </v>
      </c>
    </row>
    <row r="39" spans="1:105" ht="15" customHeight="1">
      <c r="A39" s="1"/>
      <c r="B39" s="204"/>
      <c r="C39" s="205"/>
      <c r="D39" s="421"/>
      <c r="E39" s="422"/>
      <c r="F39" s="422"/>
      <c r="G39" s="422"/>
      <c r="H39" s="422"/>
      <c r="I39" s="422"/>
      <c r="J39" s="422"/>
      <c r="K39" s="422"/>
      <c r="L39" s="422"/>
      <c r="M39" s="423"/>
      <c r="N39" s="427"/>
      <c r="O39" s="428"/>
      <c r="P39" s="429"/>
      <c r="Q39" s="457"/>
      <c r="R39" s="458"/>
      <c r="S39" s="458"/>
      <c r="T39" s="474"/>
      <c r="U39" s="475"/>
      <c r="V39" s="475"/>
      <c r="W39" s="475"/>
      <c r="X39" s="475"/>
      <c r="Y39" s="475"/>
      <c r="Z39" s="476"/>
      <c r="AA39" s="430"/>
      <c r="AB39" s="431"/>
      <c r="AC39" s="432"/>
      <c r="AD39" s="430"/>
      <c r="AE39" s="431"/>
      <c r="AF39" s="432"/>
      <c r="AG39" s="430"/>
      <c r="AH39" s="431"/>
      <c r="AI39" s="432"/>
      <c r="AJ39" s="430"/>
      <c r="AK39" s="431"/>
      <c r="AL39" s="432"/>
      <c r="AM39" s="430"/>
      <c r="AN39" s="431"/>
      <c r="AO39" s="432"/>
      <c r="AP39" s="430"/>
      <c r="AQ39" s="431"/>
      <c r="AR39" s="432"/>
      <c r="AS39" s="361">
        <f>IF(D39="","",DA39)</f>
      </c>
      <c r="AT39" s="197"/>
      <c r="AU39" s="197"/>
      <c r="AV39" s="197"/>
      <c r="AW39" s="197"/>
      <c r="AX39" s="197"/>
      <c r="AY39" s="197"/>
      <c r="AZ39" s="197"/>
      <c r="BA39" s="197"/>
      <c r="BB39" s="197"/>
      <c r="BC39" s="197"/>
      <c r="BD39" s="197"/>
      <c r="BE39" s="197"/>
      <c r="BF39" s="197"/>
      <c r="BG39" s="197"/>
      <c r="BH39" s="197"/>
      <c r="BI39" s="197"/>
      <c r="BJ39" s="197"/>
      <c r="BK39" s="197"/>
      <c r="BL39" s="198"/>
      <c r="BM39" s="10">
        <f>IF(N39="",0,IF(OR(N39=0,N39=1,N39=2,N39=3,N39=4,N39=5),1,0))</f>
        <v>0</v>
      </c>
      <c r="BN39" s="86"/>
      <c r="BP39" s="87"/>
      <c r="BQ39" s="88"/>
      <c r="BR39" s="88"/>
      <c r="BS39" s="88"/>
      <c r="BT39" s="88"/>
      <c r="BU39" s="88"/>
      <c r="BV39" s="88"/>
      <c r="BW39" s="89"/>
      <c r="BX39" s="87"/>
      <c r="BY39" s="88"/>
      <c r="BZ39" s="89"/>
      <c r="CA39" s="87"/>
      <c r="CB39" s="88"/>
      <c r="CC39" s="88"/>
      <c r="CD39" s="89"/>
      <c r="CE39" s="90"/>
      <c r="CF39" s="88"/>
      <c r="CG39" s="91"/>
      <c r="CH39" s="113"/>
      <c r="CI39" s="93">
        <f aca="true" t="shared" si="7" ref="CI39:CS39">IF(BP40&gt;0,BP$24,"")</f>
      </c>
      <c r="CJ39" s="94">
        <f t="shared" si="7"/>
      </c>
      <c r="CK39" s="94">
        <f t="shared" si="7"/>
      </c>
      <c r="CL39" s="94">
        <f t="shared" si="7"/>
      </c>
      <c r="CM39" s="94">
        <f t="shared" si="7"/>
      </c>
      <c r="CN39" s="94">
        <f t="shared" si="7"/>
      </c>
      <c r="CO39" s="94">
        <f t="shared" si="7"/>
      </c>
      <c r="CP39" s="95">
        <f t="shared" si="7"/>
      </c>
      <c r="CQ39" s="96">
        <f t="shared" si="7"/>
      </c>
      <c r="CR39" s="94">
        <f t="shared" si="7"/>
      </c>
      <c r="CS39" s="95">
        <f t="shared" si="7"/>
      </c>
      <c r="CT39" s="114"/>
      <c r="CU39" s="115"/>
      <c r="CV39" s="115"/>
      <c r="CW39" s="116"/>
      <c r="CX39" s="117"/>
      <c r="CY39" s="117"/>
      <c r="CZ39" s="118"/>
      <c r="DA39" s="119">
        <f>CI39&amp;CJ39&amp;CK39&amp;CL39&amp;CM39&amp;CN39&amp;CO39&amp;CP39&amp;CQ39&amp;CR39&amp;CS39&amp;CT39&amp;CU39&amp;CV39&amp;CW39&amp;CX39&amp;CY39&amp;CZ39&amp;IF(AND(CH40&gt;0,BO40&gt;1),"＝合計","")</f>
      </c>
    </row>
    <row r="40" spans="1:105" ht="15" customHeight="1">
      <c r="A40" s="1"/>
      <c r="B40" s="204"/>
      <c r="C40" s="205"/>
      <c r="D40" s="424"/>
      <c r="E40" s="425"/>
      <c r="F40" s="425"/>
      <c r="G40" s="425"/>
      <c r="H40" s="425"/>
      <c r="I40" s="425"/>
      <c r="J40" s="425"/>
      <c r="K40" s="425"/>
      <c r="L40" s="425"/>
      <c r="M40" s="426"/>
      <c r="N40" s="427"/>
      <c r="O40" s="428"/>
      <c r="P40" s="429"/>
      <c r="Q40" s="459"/>
      <c r="R40" s="460"/>
      <c r="S40" s="460"/>
      <c r="T40" s="477"/>
      <c r="U40" s="478"/>
      <c r="V40" s="478"/>
      <c r="W40" s="478"/>
      <c r="X40" s="478"/>
      <c r="Y40" s="478"/>
      <c r="Z40" s="479"/>
      <c r="AA40" s="433"/>
      <c r="AB40" s="434"/>
      <c r="AC40" s="435"/>
      <c r="AD40" s="433"/>
      <c r="AE40" s="434"/>
      <c r="AF40" s="435"/>
      <c r="AG40" s="433"/>
      <c r="AH40" s="434"/>
      <c r="AI40" s="435"/>
      <c r="AJ40" s="433"/>
      <c r="AK40" s="434"/>
      <c r="AL40" s="435"/>
      <c r="AM40" s="433"/>
      <c r="AN40" s="434"/>
      <c r="AO40" s="435"/>
      <c r="AP40" s="433"/>
      <c r="AQ40" s="434"/>
      <c r="AR40" s="435"/>
      <c r="AS40" s="235">
        <f>IF(D39="","",DA40)</f>
      </c>
      <c r="AT40" s="236"/>
      <c r="AU40" s="236"/>
      <c r="AV40" s="236"/>
      <c r="AW40" s="236"/>
      <c r="AX40" s="236"/>
      <c r="AY40" s="236"/>
      <c r="AZ40" s="236"/>
      <c r="BA40" s="236"/>
      <c r="BB40" s="236"/>
      <c r="BC40" s="236"/>
      <c r="BD40" s="236"/>
      <c r="BE40" s="236"/>
      <c r="BF40" s="236"/>
      <c r="BG40" s="236"/>
      <c r="BH40" s="236"/>
      <c r="BI40" s="236"/>
      <c r="BJ40" s="236"/>
      <c r="BK40" s="236"/>
      <c r="BL40" s="237"/>
      <c r="BM40" s="10"/>
      <c r="BN40" s="86"/>
      <c r="BO40" s="6">
        <f>COUNTIF(BP40:CG40,"&gt;0")</f>
        <v>0</v>
      </c>
      <c r="BP40" s="100">
        <f>IF(AND($B$4="志賀山荘",D39&lt;&gt;""),IF($BM39=1,0,IF(OR($T39="本人",$T39="配偶者",$T39="子",$T39="父母",$T39="義父母",$T39="同居の親族",$T39="みつわ会会員"),$P$18,0)),0)</f>
        <v>0</v>
      </c>
      <c r="BQ40" s="101">
        <f>IF(AND($B$4="志賀山荘",D39&lt;&gt;""),IF($BM39=1,0,IF($T39="その他",$P$18,0)),0)</f>
        <v>0</v>
      </c>
      <c r="BR40" s="101">
        <f>IF(AND($B$4="志賀山荘",D39&lt;&gt;""),IF(AND(OR($T39="本人",$T39="配偶者",$T39="子",$T39="父母",$T39="義父母",$T39="同居の親族",$T39="みつわ会会員"),$BM39=1,$Q39="有"),$P$18,0),0)</f>
        <v>0</v>
      </c>
      <c r="BS40" s="101">
        <f>IF(AND($B$4="志賀山荘",D39&lt;&gt;""),IF(AND($T39="その他",$BM39=1,$Q39="有"),$P$18,0),0)</f>
        <v>0</v>
      </c>
      <c r="BT40" s="101">
        <f>IF(AND($B$4="志賀山荘",D39&lt;&gt;""),IF($BM39=0,0,IF($Q39="無",$P$18,0)),0)</f>
        <v>0</v>
      </c>
      <c r="BU40" s="101">
        <f>IF(AND($B$4="志賀山荘",D39&lt;&gt;""),IF(OR($BM$18&gt;10,$BM$18&lt;4),IF($BT40=0,IF(SUM(BP40:BS40)&gt;0,$P$18,0),0),0),0)</f>
        <v>0</v>
      </c>
      <c r="BV40" s="101">
        <f>IF(AND($B$4="志賀山荘",D39&lt;&gt;""),COUNTIF($AA39,"○")+COUNTIF($AG39,"○")+COUNTIF($AM39,"○"),0)</f>
        <v>0</v>
      </c>
      <c r="BW40" s="102">
        <f>IF(AND($B$4="志賀山荘",D39&lt;&gt;""),COUNTIF($AD39,"○")+COUNTIF($AJ39,"○")+COUNTIF($AP39,"○"),0)</f>
        <v>0</v>
      </c>
      <c r="BX40" s="100">
        <f>IF(AND($B$4="勝浦ﾎﾃﾙ三日月",D39&lt;&gt;""),IF(AND(COUNTA($T39)=1,$BM39=1),IF(Q39="無",0,$P$18),$P$18),0)</f>
        <v>0</v>
      </c>
      <c r="BY40" s="101">
        <f>IF(AND($B$4="勝浦ﾎﾃﾙ三日月",D39&lt;&gt;""),IF(AND(COUNTA($T39)=1,$BM39=1,Q39="無"),$P$18,0),0)</f>
        <v>0</v>
      </c>
      <c r="BZ40" s="102">
        <f>IF(AND($B$4="勝浦ﾎﾃﾙ三日月",D39&lt;&gt;""),IF(AND(COUNTA($T39)=1,$N39&gt;11),$P$18,0),0)</f>
        <v>0</v>
      </c>
      <c r="CA40" s="100">
        <f>IF(AND($B17="ﾙｽﾂA.宿泊ﾊﾟｯｸ",D39&lt;&gt;""),$J17,0)</f>
        <v>0</v>
      </c>
      <c r="CB40" s="101">
        <f>IF(AND($B18="ﾙｽﾂB.宿泊券",D39&lt;&gt;""),$J18,0)</f>
        <v>0</v>
      </c>
      <c r="CC40" s="101">
        <f>IF(AND($B19="ﾙｽﾂC.割引券",D39&lt;&gt;""),$J19,0)</f>
        <v>0</v>
      </c>
      <c r="CD40" s="102">
        <f>IF(AND($B20="ﾙｽﾂD.ﾎﾟｲﾝﾄ券",D39&lt;&gt;""),$J20,0)</f>
        <v>0</v>
      </c>
      <c r="CE40" s="103">
        <f>IF(AND($B16="ｽｶｲﾊﾟｰｸﾎﾃﾙ",D39&lt;&gt;""),$J16,0)</f>
        <v>0</v>
      </c>
      <c r="CF40" s="101">
        <f>IF(AND($B16="穂高ﾋﾞｭｰﾎﾃﾙ",D39&lt;&gt;""),$J16,0)</f>
        <v>0</v>
      </c>
      <c r="CG40" s="104">
        <f>IF(AND($B16="由布院倶楽部",D39&lt;&gt;""),$J16,0)</f>
        <v>0</v>
      </c>
      <c r="CH40" s="105">
        <f>SUM(BP$25*BP40,BQ$25*BQ40,BR$25*BR40,BS$25*BS40,BT$25*BT40,BU$25*BU40,BV$25*BV40,BW$25*BW40,BX$25*BX40,BY$25*BY40,BZ$25*BZ40,CA$25*CA40,CB$25*CB40,CC$25*CC40,CD$25*CD40,CE$25*CE40,CF$25*CF40,CG$25*CG40)</f>
        <v>0</v>
      </c>
      <c r="CI40" s="106">
        <f>IF(BP40&gt;0,TEXT(BP$25*BP40,"\#,##0"),"")</f>
      </c>
      <c r="CJ40" s="107">
        <f>IF(BQ40&gt;0,TEXT(BQ$25*BQ40,"\#,##0"),"")</f>
      </c>
      <c r="CK40" s="107">
        <f>IF(BR40&gt;0,TEXT(BR$25*BR40,"\#,##0"),"")</f>
      </c>
      <c r="CL40" s="107">
        <f>IF(BS40&gt;0,TEXT(BS$25*BS40,"\#,##0"),"")</f>
      </c>
      <c r="CM40" s="107">
        <f>IF(BT40&gt;0,TEXT(BT$25*BT40,"\#,##0"),"")</f>
      </c>
      <c r="CN40" s="107">
        <f>IF(BU40&gt;0,TEXT(BU$25*BU40,"+\#,##0"),"")</f>
      </c>
      <c r="CO40" s="107">
        <f>IF(BV40&gt;0,TEXT(BV$25*BV40,"+\#,##0"),"")</f>
      </c>
      <c r="CP40" s="108">
        <f>IF(BW40&gt;0,TEXT(BW$25*BW40,"+\#,##0"),"")</f>
      </c>
      <c r="CQ40" s="109">
        <f>IF(BX40&gt;0,TEXT(BX$25*BX40,"\#,##0"),"")</f>
      </c>
      <c r="CR40" s="107">
        <f>IF(BY40&gt;0,TEXT(BY$25*BY40,"\#,##0"),"")</f>
      </c>
      <c r="CS40" s="108">
        <f>IF(BZ40&gt;0,TEXT(BZ$25*BZ40,"+\#,##0"),"")</f>
      </c>
      <c r="CT40" s="120"/>
      <c r="CU40" s="121"/>
      <c r="CV40" s="121"/>
      <c r="CW40" s="122"/>
      <c r="CX40" s="123"/>
      <c r="CY40" s="123"/>
      <c r="CZ40" s="124"/>
      <c r="DA40" s="112" t="str">
        <f>IF(CH40=0,"- ",CI40&amp;CJ40&amp;CK40&amp;CL40&amp;CM40&amp;CN40&amp;CO40&amp;CP40&amp;CQ40&amp;CR40&amp;CS40&amp;CT40&amp;CU40&amp;CV40&amp;CW40&amp;CX40&amp;CY40&amp;CZ40&amp;IF(BO40&gt;1,TEXT(CH40,"=\#,##0"),""))</f>
        <v>- </v>
      </c>
    </row>
    <row r="41" spans="1:105" ht="15" customHeight="1">
      <c r="A41" s="1"/>
      <c r="B41" s="204"/>
      <c r="C41" s="205"/>
      <c r="D41" s="421"/>
      <c r="E41" s="422"/>
      <c r="F41" s="422"/>
      <c r="G41" s="422"/>
      <c r="H41" s="422"/>
      <c r="I41" s="422"/>
      <c r="J41" s="422"/>
      <c r="K41" s="422"/>
      <c r="L41" s="422"/>
      <c r="M41" s="423"/>
      <c r="N41" s="427"/>
      <c r="O41" s="428"/>
      <c r="P41" s="429"/>
      <c r="Q41" s="457"/>
      <c r="R41" s="458"/>
      <c r="S41" s="458"/>
      <c r="T41" s="474"/>
      <c r="U41" s="475"/>
      <c r="V41" s="475"/>
      <c r="W41" s="475"/>
      <c r="X41" s="475"/>
      <c r="Y41" s="475"/>
      <c r="Z41" s="476"/>
      <c r="AA41" s="430"/>
      <c r="AB41" s="431"/>
      <c r="AC41" s="432"/>
      <c r="AD41" s="430"/>
      <c r="AE41" s="431"/>
      <c r="AF41" s="432"/>
      <c r="AG41" s="430"/>
      <c r="AH41" s="431"/>
      <c r="AI41" s="432"/>
      <c r="AJ41" s="430"/>
      <c r="AK41" s="431"/>
      <c r="AL41" s="432"/>
      <c r="AM41" s="430"/>
      <c r="AN41" s="431"/>
      <c r="AO41" s="432"/>
      <c r="AP41" s="430"/>
      <c r="AQ41" s="431"/>
      <c r="AR41" s="432"/>
      <c r="AS41" s="361">
        <f>IF(D41="","",DA41)</f>
      </c>
      <c r="AT41" s="197"/>
      <c r="AU41" s="197"/>
      <c r="AV41" s="197"/>
      <c r="AW41" s="197"/>
      <c r="AX41" s="197"/>
      <c r="AY41" s="197"/>
      <c r="AZ41" s="197"/>
      <c r="BA41" s="197"/>
      <c r="BB41" s="197"/>
      <c r="BC41" s="197"/>
      <c r="BD41" s="197"/>
      <c r="BE41" s="197"/>
      <c r="BF41" s="197"/>
      <c r="BG41" s="197"/>
      <c r="BH41" s="197"/>
      <c r="BI41" s="197"/>
      <c r="BJ41" s="197"/>
      <c r="BK41" s="197"/>
      <c r="BL41" s="198"/>
      <c r="BM41" s="10">
        <f>IF(N41="",0,IF(OR(N41=0,N41=1,N41=2,N41=3,N41=4,N41=5),1,0))</f>
        <v>0</v>
      </c>
      <c r="BN41" s="86"/>
      <c r="BP41" s="87"/>
      <c r="BQ41" s="88"/>
      <c r="BR41" s="88"/>
      <c r="BS41" s="88"/>
      <c r="BT41" s="88"/>
      <c r="BU41" s="88"/>
      <c r="BV41" s="88"/>
      <c r="BW41" s="89"/>
      <c r="BX41" s="87"/>
      <c r="BY41" s="88"/>
      <c r="BZ41" s="89"/>
      <c r="CA41" s="87"/>
      <c r="CB41" s="88"/>
      <c r="CC41" s="88"/>
      <c r="CD41" s="89"/>
      <c r="CE41" s="90"/>
      <c r="CF41" s="88"/>
      <c r="CG41" s="91"/>
      <c r="CH41" s="113"/>
      <c r="CI41" s="93">
        <f aca="true" t="shared" si="8" ref="CI41:CS41">IF(BP42&gt;0,BP$24,"")</f>
      </c>
      <c r="CJ41" s="94">
        <f t="shared" si="8"/>
      </c>
      <c r="CK41" s="94">
        <f t="shared" si="8"/>
      </c>
      <c r="CL41" s="94">
        <f t="shared" si="8"/>
      </c>
      <c r="CM41" s="94">
        <f t="shared" si="8"/>
      </c>
      <c r="CN41" s="94">
        <f t="shared" si="8"/>
      </c>
      <c r="CO41" s="94">
        <f t="shared" si="8"/>
      </c>
      <c r="CP41" s="95">
        <f t="shared" si="8"/>
      </c>
      <c r="CQ41" s="96">
        <f t="shared" si="8"/>
      </c>
      <c r="CR41" s="94">
        <f t="shared" si="8"/>
      </c>
      <c r="CS41" s="95">
        <f t="shared" si="8"/>
      </c>
      <c r="CT41" s="114"/>
      <c r="CU41" s="115"/>
      <c r="CV41" s="115"/>
      <c r="CW41" s="116"/>
      <c r="CX41" s="117"/>
      <c r="CY41" s="117"/>
      <c r="CZ41" s="118"/>
      <c r="DA41" s="119">
        <f>CI41&amp;CJ41&amp;CK41&amp;CL41&amp;CM41&amp;CN41&amp;CO41&amp;CP41&amp;CQ41&amp;CR41&amp;CS41&amp;CT41&amp;CU41&amp;CV41&amp;CW41&amp;CX41&amp;CY41&amp;CZ41&amp;IF(AND(CH42&gt;0,BO42&gt;1),"＝合計","")</f>
      </c>
    </row>
    <row r="42" spans="1:105" ht="15" customHeight="1" thickBot="1">
      <c r="A42" s="1"/>
      <c r="B42" s="204"/>
      <c r="C42" s="205"/>
      <c r="D42" s="424"/>
      <c r="E42" s="425"/>
      <c r="F42" s="425"/>
      <c r="G42" s="425"/>
      <c r="H42" s="425"/>
      <c r="I42" s="425"/>
      <c r="J42" s="425"/>
      <c r="K42" s="425"/>
      <c r="L42" s="425"/>
      <c r="M42" s="426"/>
      <c r="N42" s="427"/>
      <c r="O42" s="428"/>
      <c r="P42" s="429"/>
      <c r="Q42" s="459"/>
      <c r="R42" s="460"/>
      <c r="S42" s="460"/>
      <c r="T42" s="477"/>
      <c r="U42" s="478"/>
      <c r="V42" s="478"/>
      <c r="W42" s="478"/>
      <c r="X42" s="478"/>
      <c r="Y42" s="478"/>
      <c r="Z42" s="479"/>
      <c r="AA42" s="433"/>
      <c r="AB42" s="434"/>
      <c r="AC42" s="435"/>
      <c r="AD42" s="433"/>
      <c r="AE42" s="434"/>
      <c r="AF42" s="435"/>
      <c r="AG42" s="433"/>
      <c r="AH42" s="434"/>
      <c r="AI42" s="435"/>
      <c r="AJ42" s="433"/>
      <c r="AK42" s="434"/>
      <c r="AL42" s="435"/>
      <c r="AM42" s="433"/>
      <c r="AN42" s="434"/>
      <c r="AO42" s="435"/>
      <c r="AP42" s="433"/>
      <c r="AQ42" s="434"/>
      <c r="AR42" s="435"/>
      <c r="AS42" s="235">
        <f>IF(D41="","",DA42)</f>
      </c>
      <c r="AT42" s="236"/>
      <c r="AU42" s="236"/>
      <c r="AV42" s="236"/>
      <c r="AW42" s="236"/>
      <c r="AX42" s="236"/>
      <c r="AY42" s="236"/>
      <c r="AZ42" s="236"/>
      <c r="BA42" s="236"/>
      <c r="BB42" s="236"/>
      <c r="BC42" s="236"/>
      <c r="BD42" s="236"/>
      <c r="BE42" s="236"/>
      <c r="BF42" s="236"/>
      <c r="BG42" s="236"/>
      <c r="BH42" s="236"/>
      <c r="BI42" s="236"/>
      <c r="BJ42" s="236"/>
      <c r="BK42" s="236"/>
      <c r="BL42" s="237"/>
      <c r="BM42" s="10"/>
      <c r="BN42" s="86"/>
      <c r="BO42" s="6">
        <f>COUNTIF(BP42:CG42,"&gt;0")</f>
        <v>0</v>
      </c>
      <c r="BP42" s="125">
        <f>IF(AND($B$4="志賀山荘",D41&lt;&gt;""),IF($BM41=1,0,IF(OR($T41="本人",$T41="配偶者",$T41="子",$T41="父母",$T41="義父母",$T41="同居の親族",$T41="みつわ会会員"),$P$18,0)),0)</f>
        <v>0</v>
      </c>
      <c r="BQ42" s="126">
        <f>IF(AND($B$4="志賀山荘",D41&lt;&gt;""),IF($BM41=1,0,IF($T41="その他",$P$18,0)),0)</f>
        <v>0</v>
      </c>
      <c r="BR42" s="126">
        <f>IF(AND($B$4="志賀山荘",D41&lt;&gt;""),IF(AND(OR($T41="本人",$T41="配偶者",$T41="子",$T41="父母",$T41="義父母",$T41="同居の親族",$T41="みつわ会会員"),$BM41=1,$Q41="有"),$P$18,0),0)</f>
        <v>0</v>
      </c>
      <c r="BS42" s="126">
        <f>IF(AND($B$4="志賀山荘",D41&lt;&gt;""),IF(AND($T41="その他",$BM41=1,$Q41="有"),$P$18,0),0)</f>
        <v>0</v>
      </c>
      <c r="BT42" s="126">
        <f>IF(AND($B$4="志賀山荘",D41&lt;&gt;""),IF($BM41=0,0,IF($Q41="無",$P$18,0)),0)</f>
        <v>0</v>
      </c>
      <c r="BU42" s="126">
        <f>IF(AND($B$4="志賀山荘",D41&lt;&gt;""),IF(OR($BM$18&gt;10,$BM$18&lt;4),IF($BT42=0,IF(SUM(BP42:BS42)&gt;0,$P$18,0),0),0),0)</f>
        <v>0</v>
      </c>
      <c r="BV42" s="126">
        <f>IF(AND($B$4="志賀山荘",D41&lt;&gt;""),COUNTIF($AA41,"○")+COUNTIF($AG41,"○")+COUNTIF($AM41,"○"),0)</f>
        <v>0</v>
      </c>
      <c r="BW42" s="127">
        <f>IF(AND($B$4="志賀山荘",D41&lt;&gt;""),COUNTIF($AD41,"○")+COUNTIF($AJ41,"○")+COUNTIF($AP41,"○"),0)</f>
        <v>0</v>
      </c>
      <c r="BX42" s="125">
        <f>IF(AND($B$4="勝浦ﾎﾃﾙ三日月",D41&lt;&gt;""),IF(AND(COUNTA($T41)=1,$BM41=1),IF(Q41="無",0,$P$18),$P$18),0)</f>
        <v>0</v>
      </c>
      <c r="BY42" s="126">
        <f>IF(AND($B$4="勝浦ﾎﾃﾙ三日月",D41&lt;&gt;""),IF(AND(COUNTA($T41)=1,$BM41=1,Q41="無"),$P$18,0),0)</f>
        <v>0</v>
      </c>
      <c r="BZ42" s="127">
        <f>IF(AND($B$4="勝浦ﾎﾃﾙ三日月",D41&lt;&gt;""),IF(AND(COUNTA($T41)=1,$N41&gt;11),$P$18,0),0)</f>
        <v>0</v>
      </c>
      <c r="CA42" s="125">
        <f>IF(AND($B19="ﾙｽﾂA.宿泊ﾊﾟｯｸ",D41&lt;&gt;""),$J19,0)</f>
        <v>0</v>
      </c>
      <c r="CB42" s="126">
        <f>IF(AND($B20="ﾙｽﾂB.宿泊券",D41&lt;&gt;""),$J20,0)</f>
        <v>0</v>
      </c>
      <c r="CC42" s="126">
        <f>IF(AND($B21="ﾙｽﾂC.割引券",D41&lt;&gt;""),$J21,0)</f>
        <v>0</v>
      </c>
      <c r="CD42" s="127">
        <f>IF(AND($B22="ﾙｽﾂD.ﾎﾟｲﾝﾄ券",D41&lt;&gt;""),$J22,0)</f>
        <v>0</v>
      </c>
      <c r="CE42" s="181">
        <f>IF(AND($B18="ｽｶｲﾊﾟｰｸﾎﾃﾙ",D41&lt;&gt;""),$J18,0)</f>
        <v>0</v>
      </c>
      <c r="CF42" s="126">
        <f>IF(AND($B18="穂高ﾋﾞｭｰﾎﾃﾙ",D41&lt;&gt;""),$J18,0)</f>
        <v>0</v>
      </c>
      <c r="CG42" s="182">
        <f>IF(AND($B18="由布院倶楽部",D41&lt;&gt;""),$J18,0)</f>
        <v>0</v>
      </c>
      <c r="CH42" s="131">
        <f>SUM(BP$25*BP42,BQ$25*BQ42,BR$25*BR42,BS$25*BS42,BT$25*BT42,BU$25*BU42,BV$25*BV42,BW$25*BW42,BX$25*BX42,BY$25*BY42,BZ$25*BZ42,CA$25*CA42,CB$25*CB42,CC$25*CC42,CD$25*CD42,CE$25*CE42,CF$25*CF42,CG$25*CG42)</f>
        <v>0</v>
      </c>
      <c r="CI42" s="132">
        <f>IF(BP42&gt;0,TEXT(BP$25*BP42,"\#,##0"),"")</f>
      </c>
      <c r="CJ42" s="133">
        <f>IF(BQ42&gt;0,TEXT(BQ$25*BQ42,"\#,##0"),"")</f>
      </c>
      <c r="CK42" s="133">
        <f>IF(BR42&gt;0,TEXT(BR$25*BR42,"\#,##0"),"")</f>
      </c>
      <c r="CL42" s="133">
        <f>IF(BS42&gt;0,TEXT(BS$25*BS42,"\#,##0"),"")</f>
      </c>
      <c r="CM42" s="133">
        <f>IF(BT42&gt;0,TEXT(BT$25*BT42,"\#,##0"),"")</f>
      </c>
      <c r="CN42" s="133">
        <f>IF(BU42&gt;0,TEXT(BU$25*BU42,"+\#,##0"),"")</f>
      </c>
      <c r="CO42" s="133">
        <f>IF(BV42&gt;0,TEXT(BV$25*BV42,"+\#,##0"),"")</f>
      </c>
      <c r="CP42" s="134">
        <f>IF(BW42&gt;0,TEXT(BW$25*BW42,"+\#,##0"),"")</f>
      </c>
      <c r="CQ42" s="135">
        <f>IF(BX42&gt;0,TEXT(BX$25*BX42,"\#,##0"),"")</f>
      </c>
      <c r="CR42" s="133">
        <f>IF(BY42&gt;0,TEXT(BY$25*BY42,"\#,##0"),"")</f>
      </c>
      <c r="CS42" s="134">
        <f>IF(BZ42&gt;0,TEXT(BZ$25*BZ42,"+\#,##0"),"")</f>
      </c>
      <c r="CT42" s="136"/>
      <c r="CU42" s="137"/>
      <c r="CV42" s="137"/>
      <c r="CW42" s="138"/>
      <c r="CX42" s="139"/>
      <c r="CY42" s="139"/>
      <c r="CZ42" s="140"/>
      <c r="DA42" s="141" t="str">
        <f>IF(CH42=0,"- ",CI42&amp;CJ42&amp;CK42&amp;CL42&amp;CM42&amp;CN42&amp;CO42&amp;CP42&amp;CQ42&amp;CR42&amp;CS42&amp;CT42&amp;CU42&amp;CV42&amp;CW42&amp;CX42&amp;CY42&amp;CZ42&amp;IF(BO42&gt;1,TEXT(CH42,"=\#,##0"),""))</f>
        <v>- </v>
      </c>
    </row>
    <row r="43" spans="1:105" ht="9" customHeight="1" thickTop="1">
      <c r="A43" s="8"/>
      <c r="B43" s="202" t="s">
        <v>28</v>
      </c>
      <c r="C43" s="203"/>
      <c r="D43" s="316" t="s">
        <v>29</v>
      </c>
      <c r="E43" s="317"/>
      <c r="F43" s="317"/>
      <c r="G43" s="317"/>
      <c r="H43" s="318"/>
      <c r="I43" s="316" t="s">
        <v>30</v>
      </c>
      <c r="J43" s="317"/>
      <c r="K43" s="317"/>
      <c r="L43" s="317"/>
      <c r="M43" s="318"/>
      <c r="N43" s="316" t="s">
        <v>31</v>
      </c>
      <c r="O43" s="317"/>
      <c r="P43" s="317"/>
      <c r="Q43" s="317"/>
      <c r="R43" s="317"/>
      <c r="S43" s="317"/>
      <c r="T43" s="317"/>
      <c r="U43" s="318"/>
      <c r="V43" s="316" t="s">
        <v>32</v>
      </c>
      <c r="W43" s="317"/>
      <c r="X43" s="317"/>
      <c r="Y43" s="317"/>
      <c r="Z43" s="318"/>
      <c r="AA43" s="379" t="s">
        <v>26</v>
      </c>
      <c r="AB43" s="380"/>
      <c r="AC43" s="380"/>
      <c r="AD43" s="370">
        <f>COUNTIF(AA27:AC42,"○")+COUNTIF(AG27:AI42,"○")+COUNTIF(AM27:AO42,"○")</f>
        <v>0</v>
      </c>
      <c r="AE43" s="370"/>
      <c r="AF43" s="370"/>
      <c r="AG43" s="373" t="s">
        <v>37</v>
      </c>
      <c r="AH43" s="373"/>
      <c r="AI43" s="374"/>
      <c r="AJ43" s="379" t="s">
        <v>38</v>
      </c>
      <c r="AK43" s="380"/>
      <c r="AL43" s="380"/>
      <c r="AM43" s="370">
        <f>COUNTIF(AD27:AF42,"○")+COUNTIF(AJ27:AL42,"○")+COUNTIF(AP27:AR42,"○")</f>
        <v>0</v>
      </c>
      <c r="AN43" s="370"/>
      <c r="AO43" s="370"/>
      <c r="AP43" s="373" t="s">
        <v>37</v>
      </c>
      <c r="AQ43" s="373"/>
      <c r="AR43" s="374"/>
      <c r="AS43" s="409">
        <f>IF(CH45&gt;0,TEXT(CH45,"合計金額　#,##0円"),IF(D27="","","-"))</f>
      </c>
      <c r="AT43" s="410"/>
      <c r="AU43" s="410"/>
      <c r="AV43" s="410"/>
      <c r="AW43" s="410"/>
      <c r="AX43" s="410"/>
      <c r="AY43" s="410"/>
      <c r="AZ43" s="410"/>
      <c r="BA43" s="410"/>
      <c r="BB43" s="410"/>
      <c r="BC43" s="410"/>
      <c r="BD43" s="410"/>
      <c r="BE43" s="410"/>
      <c r="BF43" s="410"/>
      <c r="BG43" s="410"/>
      <c r="BH43" s="410"/>
      <c r="BI43" s="410"/>
      <c r="BJ43" s="410"/>
      <c r="BK43" s="410"/>
      <c r="BL43" s="411"/>
      <c r="BM43" s="10"/>
      <c r="BP43" s="142"/>
      <c r="BQ43" s="142"/>
      <c r="BR43" s="142"/>
      <c r="BS43" s="142"/>
      <c r="BT43" s="142"/>
      <c r="BU43" s="142"/>
      <c r="BV43" s="142"/>
      <c r="BW43" s="142"/>
      <c r="BX43" s="142"/>
      <c r="BY43" s="142"/>
      <c r="BZ43" s="142"/>
      <c r="CA43" s="143"/>
      <c r="CB43" s="143"/>
      <c r="CC43" s="143"/>
      <c r="CD43" s="143"/>
      <c r="CE43" s="143"/>
      <c r="CF43" s="143"/>
      <c r="CG43" s="143"/>
      <c r="CH43" s="145"/>
      <c r="CI43" s="5"/>
      <c r="CJ43" s="5"/>
      <c r="CK43" s="5"/>
      <c r="CL43" s="5"/>
      <c r="CM43" s="5"/>
      <c r="CN43" s="5"/>
      <c r="CO43" s="5"/>
      <c r="CP43" s="5"/>
      <c r="CQ43" s="5"/>
      <c r="CR43" s="5"/>
      <c r="CS43" s="5"/>
      <c r="CT43" s="5"/>
      <c r="CU43" s="5"/>
      <c r="CV43" s="5"/>
      <c r="CW43" s="5"/>
      <c r="CX43" s="5"/>
      <c r="CY43" s="5"/>
      <c r="CZ43" s="5"/>
      <c r="DA43" s="5"/>
    </row>
    <row r="44" spans="1:105" ht="5.25" customHeight="1">
      <c r="A44" s="8"/>
      <c r="B44" s="204"/>
      <c r="C44" s="205"/>
      <c r="D44" s="322"/>
      <c r="E44" s="323"/>
      <c r="F44" s="323"/>
      <c r="G44" s="323"/>
      <c r="H44" s="324"/>
      <c r="I44" s="322"/>
      <c r="J44" s="323"/>
      <c r="K44" s="323"/>
      <c r="L44" s="323"/>
      <c r="M44" s="324"/>
      <c r="N44" s="322"/>
      <c r="O44" s="323"/>
      <c r="P44" s="323"/>
      <c r="Q44" s="323"/>
      <c r="R44" s="323"/>
      <c r="S44" s="323"/>
      <c r="T44" s="323"/>
      <c r="U44" s="324"/>
      <c r="V44" s="322"/>
      <c r="W44" s="323"/>
      <c r="X44" s="323"/>
      <c r="Y44" s="323"/>
      <c r="Z44" s="324"/>
      <c r="AA44" s="381"/>
      <c r="AB44" s="382"/>
      <c r="AC44" s="382"/>
      <c r="AD44" s="371"/>
      <c r="AE44" s="371"/>
      <c r="AF44" s="371"/>
      <c r="AG44" s="375"/>
      <c r="AH44" s="375"/>
      <c r="AI44" s="376"/>
      <c r="AJ44" s="381"/>
      <c r="AK44" s="382"/>
      <c r="AL44" s="382"/>
      <c r="AM44" s="371"/>
      <c r="AN44" s="371"/>
      <c r="AO44" s="371"/>
      <c r="AP44" s="375"/>
      <c r="AQ44" s="375"/>
      <c r="AR44" s="376"/>
      <c r="AS44" s="412"/>
      <c r="AT44" s="413"/>
      <c r="AU44" s="413"/>
      <c r="AV44" s="413"/>
      <c r="AW44" s="413"/>
      <c r="AX44" s="413"/>
      <c r="AY44" s="413"/>
      <c r="AZ44" s="413"/>
      <c r="BA44" s="413"/>
      <c r="BB44" s="413"/>
      <c r="BC44" s="413"/>
      <c r="BD44" s="413"/>
      <c r="BE44" s="413"/>
      <c r="BF44" s="413"/>
      <c r="BG44" s="413"/>
      <c r="BH44" s="413"/>
      <c r="BI44" s="413"/>
      <c r="BJ44" s="413"/>
      <c r="BK44" s="413"/>
      <c r="BL44" s="414"/>
      <c r="BM44" s="10"/>
      <c r="BP44" s="142"/>
      <c r="BQ44" s="142"/>
      <c r="BR44" s="142"/>
      <c r="BS44" s="142"/>
      <c r="BT44" s="142"/>
      <c r="BU44" s="142"/>
      <c r="BV44" s="142"/>
      <c r="BW44" s="142"/>
      <c r="BX44" s="142"/>
      <c r="BY44" s="142"/>
      <c r="BZ44" s="142"/>
      <c r="CA44" s="143"/>
      <c r="CB44" s="143"/>
      <c r="CC44" s="143"/>
      <c r="CD44" s="143"/>
      <c r="CE44" s="143"/>
      <c r="CF44" s="143"/>
      <c r="CG44" s="143"/>
      <c r="CH44" s="145"/>
      <c r="CI44" s="5"/>
      <c r="CJ44" s="5"/>
      <c r="CK44" s="5"/>
      <c r="CL44" s="5"/>
      <c r="CM44" s="5"/>
      <c r="CN44" s="5"/>
      <c r="CO44" s="5"/>
      <c r="CP44" s="5"/>
      <c r="CQ44" s="5"/>
      <c r="CR44" s="5"/>
      <c r="CS44" s="5"/>
      <c r="CT44" s="5"/>
      <c r="CU44" s="5"/>
      <c r="CV44" s="5"/>
      <c r="CW44" s="5"/>
      <c r="CX44" s="5"/>
      <c r="CY44" s="5"/>
      <c r="CZ44" s="5"/>
      <c r="DA44" s="5"/>
    </row>
    <row r="45" spans="1:105" ht="9.75" customHeight="1">
      <c r="A45" s="8"/>
      <c r="B45" s="204"/>
      <c r="C45" s="205"/>
      <c r="D45" s="480"/>
      <c r="E45" s="481"/>
      <c r="F45" s="481"/>
      <c r="G45" s="481"/>
      <c r="H45" s="482"/>
      <c r="I45" s="480"/>
      <c r="J45" s="481"/>
      <c r="K45" s="481"/>
      <c r="L45" s="481"/>
      <c r="M45" s="482"/>
      <c r="N45" s="507">
        <f>SUM(BM27,BM29,BM31,BM33,BM35,BM37,BM39,BM41)</f>
        <v>0</v>
      </c>
      <c r="O45" s="508"/>
      <c r="P45" s="508"/>
      <c r="Q45" s="508"/>
      <c r="R45" s="508"/>
      <c r="S45" s="508"/>
      <c r="T45" s="508"/>
      <c r="U45" s="509"/>
      <c r="V45" s="401">
        <f>SUM(D45:U46)</f>
        <v>0</v>
      </c>
      <c r="W45" s="370"/>
      <c r="X45" s="370"/>
      <c r="Y45" s="370"/>
      <c r="Z45" s="402"/>
      <c r="AA45" s="381"/>
      <c r="AB45" s="382"/>
      <c r="AC45" s="382"/>
      <c r="AD45" s="371"/>
      <c r="AE45" s="371"/>
      <c r="AF45" s="371"/>
      <c r="AG45" s="375"/>
      <c r="AH45" s="375"/>
      <c r="AI45" s="376"/>
      <c r="AJ45" s="381"/>
      <c r="AK45" s="382"/>
      <c r="AL45" s="382"/>
      <c r="AM45" s="371"/>
      <c r="AN45" s="371"/>
      <c r="AO45" s="371"/>
      <c r="AP45" s="375"/>
      <c r="AQ45" s="375"/>
      <c r="AR45" s="376"/>
      <c r="AS45" s="412"/>
      <c r="AT45" s="413"/>
      <c r="AU45" s="413"/>
      <c r="AV45" s="413"/>
      <c r="AW45" s="413"/>
      <c r="AX45" s="413"/>
      <c r="AY45" s="413"/>
      <c r="AZ45" s="413"/>
      <c r="BA45" s="413"/>
      <c r="BB45" s="413"/>
      <c r="BC45" s="413"/>
      <c r="BD45" s="413"/>
      <c r="BE45" s="413"/>
      <c r="BF45" s="413"/>
      <c r="BG45" s="413"/>
      <c r="BH45" s="413"/>
      <c r="BI45" s="413"/>
      <c r="BJ45" s="413"/>
      <c r="BK45" s="413"/>
      <c r="BL45" s="414"/>
      <c r="BM45" s="10"/>
      <c r="BP45" s="142"/>
      <c r="BQ45" s="142"/>
      <c r="BR45" s="142"/>
      <c r="BS45" s="142"/>
      <c r="BT45" s="142"/>
      <c r="BU45" s="142"/>
      <c r="BV45" s="142"/>
      <c r="BW45" s="142"/>
      <c r="BX45" s="142"/>
      <c r="BY45" s="142"/>
      <c r="BZ45" s="142"/>
      <c r="CA45" s="143"/>
      <c r="CB45" s="143"/>
      <c r="CC45" s="143"/>
      <c r="CD45" s="143"/>
      <c r="CE45" s="143"/>
      <c r="CF45" s="143"/>
      <c r="CG45" s="143"/>
      <c r="CH45" s="145">
        <f>SUM(CH28:CH42)</f>
        <v>0</v>
      </c>
      <c r="CI45" s="5"/>
      <c r="CJ45" s="5"/>
      <c r="CK45" s="5"/>
      <c r="CL45" s="5"/>
      <c r="CM45" s="5"/>
      <c r="CN45" s="5"/>
      <c r="CO45" s="5"/>
      <c r="CP45" s="5"/>
      <c r="CQ45" s="5"/>
      <c r="CR45" s="5"/>
      <c r="CS45" s="5"/>
      <c r="CT45" s="5"/>
      <c r="CU45" s="5"/>
      <c r="CV45" s="5"/>
      <c r="CW45" s="5"/>
      <c r="CX45" s="5"/>
      <c r="CY45" s="5"/>
      <c r="CZ45" s="5"/>
      <c r="DA45" s="5"/>
    </row>
    <row r="46" spans="1:105" ht="14.25">
      <c r="A46" s="8"/>
      <c r="B46" s="206"/>
      <c r="C46" s="207"/>
      <c r="D46" s="483"/>
      <c r="E46" s="462"/>
      <c r="F46" s="462"/>
      <c r="G46" s="462"/>
      <c r="H46" s="484"/>
      <c r="I46" s="483"/>
      <c r="J46" s="462"/>
      <c r="K46" s="462"/>
      <c r="L46" s="462"/>
      <c r="M46" s="484"/>
      <c r="N46" s="510"/>
      <c r="O46" s="511"/>
      <c r="P46" s="511"/>
      <c r="Q46" s="511"/>
      <c r="R46" s="511"/>
      <c r="S46" s="511"/>
      <c r="T46" s="511"/>
      <c r="U46" s="512"/>
      <c r="V46" s="403"/>
      <c r="W46" s="372"/>
      <c r="X46" s="372"/>
      <c r="Y46" s="372"/>
      <c r="Z46" s="404"/>
      <c r="AA46" s="383"/>
      <c r="AB46" s="384"/>
      <c r="AC46" s="384"/>
      <c r="AD46" s="372"/>
      <c r="AE46" s="372"/>
      <c r="AF46" s="372"/>
      <c r="AG46" s="377"/>
      <c r="AH46" s="377"/>
      <c r="AI46" s="378"/>
      <c r="AJ46" s="383"/>
      <c r="AK46" s="384"/>
      <c r="AL46" s="384"/>
      <c r="AM46" s="372"/>
      <c r="AN46" s="372"/>
      <c r="AO46" s="372"/>
      <c r="AP46" s="377"/>
      <c r="AQ46" s="377"/>
      <c r="AR46" s="378"/>
      <c r="AS46" s="146"/>
      <c r="AT46" s="147"/>
      <c r="AU46" s="147"/>
      <c r="AV46" s="147"/>
      <c r="AW46" s="147"/>
      <c r="AX46" s="147"/>
      <c r="AY46" s="147"/>
      <c r="AZ46" s="147"/>
      <c r="BA46" s="415">
        <f>IF($B$4="勝浦ﾎﾃﾙ三日月","※食事代は別途",IF($B$4="由布院倶楽部","利用料は現地精算",""))</f>
      </c>
      <c r="BB46" s="415"/>
      <c r="BC46" s="415"/>
      <c r="BD46" s="415"/>
      <c r="BE46" s="415"/>
      <c r="BF46" s="415"/>
      <c r="BG46" s="415"/>
      <c r="BH46" s="415"/>
      <c r="BI46" s="415"/>
      <c r="BJ46" s="415"/>
      <c r="BK46" s="415"/>
      <c r="BL46" s="416"/>
      <c r="BM46" s="10"/>
      <c r="BP46" s="142"/>
      <c r="BQ46" s="142"/>
      <c r="BR46" s="142"/>
      <c r="BS46" s="142"/>
      <c r="BT46" s="142"/>
      <c r="BU46" s="142"/>
      <c r="BV46" s="142"/>
      <c r="BW46" s="142"/>
      <c r="BX46" s="142"/>
      <c r="BY46" s="142"/>
      <c r="BZ46" s="142"/>
      <c r="CA46" s="143"/>
      <c r="CB46" s="143"/>
      <c r="CC46" s="143"/>
      <c r="CD46" s="143"/>
      <c r="CE46" s="143"/>
      <c r="CF46" s="143"/>
      <c r="CG46" s="143"/>
      <c r="CH46" s="143"/>
      <c r="CI46" s="5"/>
      <c r="CJ46" s="5"/>
      <c r="CK46" s="5"/>
      <c r="CL46" s="5"/>
      <c r="CM46" s="5"/>
      <c r="CN46" s="5"/>
      <c r="CO46" s="5"/>
      <c r="CP46" s="5"/>
      <c r="CQ46" s="5"/>
      <c r="CR46" s="5"/>
      <c r="CS46" s="5"/>
      <c r="CT46" s="5"/>
      <c r="CU46" s="5"/>
      <c r="CV46" s="5"/>
      <c r="CW46" s="5"/>
      <c r="CX46" s="5"/>
      <c r="CY46" s="5"/>
      <c r="CZ46" s="5"/>
      <c r="DA46" s="5"/>
    </row>
    <row r="47" spans="1:65" ht="15" customHeight="1">
      <c r="A47" s="1"/>
      <c r="B47" s="158" t="s">
        <v>39</v>
      </c>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393"/>
      <c r="AY47" s="393"/>
      <c r="AZ47" s="393"/>
      <c r="BA47" s="393"/>
      <c r="BB47" s="393"/>
      <c r="BC47" s="393"/>
      <c r="BD47" s="393"/>
      <c r="BE47" s="393"/>
      <c r="BF47" s="393"/>
      <c r="BG47" s="393"/>
      <c r="BH47" s="393"/>
      <c r="BI47" s="393"/>
      <c r="BJ47" s="393"/>
      <c r="BK47" s="393"/>
      <c r="BL47" s="394"/>
      <c r="BM47" s="148"/>
    </row>
    <row r="48" spans="1:65" ht="13.5">
      <c r="A48" s="1"/>
      <c r="B48" s="159"/>
      <c r="C48" s="150"/>
      <c r="D48" s="150"/>
      <c r="E48" s="150"/>
      <c r="F48" s="150"/>
      <c r="G48" s="150"/>
      <c r="H48" s="150"/>
      <c r="I48" s="150"/>
      <c r="J48" s="150"/>
      <c r="K48" s="150"/>
      <c r="L48" s="150"/>
      <c r="M48" s="150"/>
      <c r="N48" s="150"/>
      <c r="O48" s="150"/>
      <c r="P48" s="150"/>
      <c r="Q48" s="150"/>
      <c r="R48" s="150"/>
      <c r="S48" s="150"/>
      <c r="T48" s="150"/>
      <c r="U48" s="160">
        <f>IF($BM$49=1,"↓必要事項を選択・入力してください","")</f>
      </c>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61"/>
      <c r="BM48" s="148"/>
    </row>
    <row r="49" spans="1:78" ht="15" customHeight="1">
      <c r="A49" s="1"/>
      <c r="B49" s="159"/>
      <c r="C49" s="150">
        <f>IF($BM$49=1,"① 「キャンセル待ち」希望の有無 =&gt;","")</f>
      </c>
      <c r="D49" s="150"/>
      <c r="E49" s="150"/>
      <c r="F49" s="150"/>
      <c r="G49" s="150"/>
      <c r="H49" s="150"/>
      <c r="I49" s="150"/>
      <c r="J49" s="150"/>
      <c r="K49" s="150"/>
      <c r="L49" s="150"/>
      <c r="M49" s="150"/>
      <c r="N49" s="150"/>
      <c r="O49" s="150"/>
      <c r="P49" s="150"/>
      <c r="Q49" s="150"/>
      <c r="R49" s="150"/>
      <c r="S49" s="150"/>
      <c r="T49" s="150"/>
      <c r="U49" s="506" t="s">
        <v>123</v>
      </c>
      <c r="V49" s="506"/>
      <c r="W49" s="506"/>
      <c r="X49" s="506"/>
      <c r="Y49" s="506"/>
      <c r="Z49" s="506"/>
      <c r="AA49" s="506"/>
      <c r="AB49" s="150"/>
      <c r="AC49" s="162">
        <f>IF($BM$49=1,"（抽選に外れた場合の上記申込日でキャンセル待ちとします。）","")</f>
      </c>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61"/>
      <c r="BM49" s="166">
        <f>IF(OR($B$4="志賀山荘",$B$4="勝浦ﾎﾃﾙ三日月"),1,0)</f>
        <v>0</v>
      </c>
      <c r="BN49" s="149"/>
      <c r="BO49" s="149"/>
      <c r="BP49" s="149"/>
      <c r="BQ49" s="149"/>
      <c r="BR49" s="149"/>
      <c r="BS49" s="149"/>
      <c r="BT49" s="149"/>
      <c r="BU49" s="149"/>
      <c r="BV49" s="149"/>
      <c r="BW49" s="149"/>
      <c r="BX49" s="149"/>
      <c r="BY49" s="149"/>
      <c r="BZ49" s="149"/>
    </row>
    <row r="50" spans="1:78" ht="15" customHeight="1">
      <c r="A50" s="1"/>
      <c r="B50" s="159"/>
      <c r="C50" s="150">
        <f>IF($BM$50=1,"② 三日月ホテルの「夕食」　=&gt;","")</f>
      </c>
      <c r="D50" s="150"/>
      <c r="E50" s="150"/>
      <c r="F50" s="150"/>
      <c r="G50" s="150"/>
      <c r="H50" s="150"/>
      <c r="I50" s="150"/>
      <c r="J50" s="150"/>
      <c r="K50" s="150"/>
      <c r="L50" s="150"/>
      <c r="M50" s="150"/>
      <c r="N50" s="150"/>
      <c r="O50" s="150"/>
      <c r="P50" s="150"/>
      <c r="Q50" s="150"/>
      <c r="R50" s="150"/>
      <c r="S50" s="150"/>
      <c r="T50" s="150"/>
      <c r="U50" s="506"/>
      <c r="V50" s="506"/>
      <c r="W50" s="506"/>
      <c r="X50" s="506"/>
      <c r="Y50" s="506"/>
      <c r="Z50" s="506"/>
      <c r="AA50" s="506"/>
      <c r="AB50" s="150"/>
      <c r="AC50" s="162">
        <f>IF($BM$50=1,"(「バイキング」または「和食」のいずれかを選択してください。)","")</f>
      </c>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61"/>
      <c r="BM50" s="166">
        <f>IF($B$4="勝浦ﾎﾃﾙ三日月",1,0)</f>
        <v>0</v>
      </c>
      <c r="BN50" s="149"/>
      <c r="BO50" s="149"/>
      <c r="BP50" s="149"/>
      <c r="BQ50" s="149"/>
      <c r="BR50" s="149"/>
      <c r="BS50" s="149"/>
      <c r="BT50" s="149"/>
      <c r="BU50" s="149"/>
      <c r="BV50" s="149"/>
      <c r="BW50" s="149"/>
      <c r="BX50" s="149"/>
      <c r="BY50" s="149"/>
      <c r="BZ50" s="149"/>
    </row>
    <row r="51" spans="1:78" ht="3.75" customHeight="1">
      <c r="A51" s="1"/>
      <c r="B51" s="159"/>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62"/>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61"/>
      <c r="BM51" s="166"/>
      <c r="BN51" s="149"/>
      <c r="BO51" s="149"/>
      <c r="BP51" s="149"/>
      <c r="BQ51" s="149"/>
      <c r="BR51" s="149"/>
      <c r="BS51" s="149"/>
      <c r="BT51" s="149"/>
      <c r="BU51" s="149"/>
      <c r="BV51" s="149"/>
      <c r="BW51" s="149"/>
      <c r="BX51" s="149"/>
      <c r="BY51" s="149"/>
      <c r="BZ51" s="149"/>
    </row>
    <row r="52" spans="1:78" ht="13.5">
      <c r="A52" s="1"/>
      <c r="B52" s="168" t="s">
        <v>113</v>
      </c>
      <c r="C52" s="169"/>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1"/>
      <c r="AY52" s="171"/>
      <c r="AZ52" s="171"/>
      <c r="BA52" s="171"/>
      <c r="BB52" s="171"/>
      <c r="BC52" s="171"/>
      <c r="BD52" s="171"/>
      <c r="BE52" s="171"/>
      <c r="BF52" s="171"/>
      <c r="BG52" s="171"/>
      <c r="BH52" s="171"/>
      <c r="BI52" s="171"/>
      <c r="BJ52" s="171"/>
      <c r="BK52" s="171"/>
      <c r="BL52" s="172"/>
      <c r="BM52" s="166">
        <f>IF(OR($B$4="ｽｶｲﾊﾟｰｸﾎﾃﾙ",$B$4="穂高ﾋﾞｭｰﾎﾃﾙ",$B$4="ﾙｽﾂﾘｿﾞｰﾄ"),1,0)</f>
        <v>0</v>
      </c>
      <c r="BN52" s="149"/>
      <c r="BO52" s="149"/>
      <c r="BP52" s="149"/>
      <c r="BQ52" s="149"/>
      <c r="BR52" s="149"/>
      <c r="BS52" s="149"/>
      <c r="BT52" s="149"/>
      <c r="BU52" s="149"/>
      <c r="BV52" s="149"/>
      <c r="BW52" s="149"/>
      <c r="BX52" s="149"/>
      <c r="BY52" s="149"/>
      <c r="BZ52" s="149"/>
    </row>
    <row r="53" spans="1:78" ht="15" customHeight="1">
      <c r="A53" s="1"/>
      <c r="B53" s="159"/>
      <c r="C53" s="516"/>
      <c r="D53" s="517"/>
      <c r="E53" s="517"/>
      <c r="F53" s="517"/>
      <c r="G53" s="517"/>
      <c r="H53" s="517"/>
      <c r="I53" s="517"/>
      <c r="J53" s="517"/>
      <c r="K53" s="517"/>
      <c r="L53" s="517"/>
      <c r="M53" s="517"/>
      <c r="N53" s="517"/>
      <c r="O53" s="517"/>
      <c r="P53" s="517"/>
      <c r="Q53" s="517"/>
      <c r="R53" s="517"/>
      <c r="S53" s="517"/>
      <c r="T53" s="517"/>
      <c r="U53" s="517"/>
      <c r="V53" s="517"/>
      <c r="W53" s="517"/>
      <c r="X53" s="517"/>
      <c r="Y53" s="517"/>
      <c r="Z53" s="517"/>
      <c r="AA53" s="517"/>
      <c r="AB53" s="517"/>
      <c r="AC53" s="517"/>
      <c r="AD53" s="517"/>
      <c r="AE53" s="517"/>
      <c r="AF53" s="517"/>
      <c r="AG53" s="517"/>
      <c r="AH53" s="517"/>
      <c r="AI53" s="517"/>
      <c r="AJ53" s="517"/>
      <c r="AK53" s="517"/>
      <c r="AL53" s="517"/>
      <c r="AM53" s="517"/>
      <c r="AN53" s="517"/>
      <c r="AO53" s="517"/>
      <c r="AP53" s="517"/>
      <c r="AQ53" s="517"/>
      <c r="AR53" s="517"/>
      <c r="AS53" s="517"/>
      <c r="AT53" s="517"/>
      <c r="AU53" s="517"/>
      <c r="AV53" s="517"/>
      <c r="AW53" s="517"/>
      <c r="AX53" s="517"/>
      <c r="AY53" s="517"/>
      <c r="AZ53" s="517"/>
      <c r="BA53" s="517"/>
      <c r="BB53" s="517"/>
      <c r="BC53" s="517"/>
      <c r="BD53" s="517"/>
      <c r="BE53" s="517"/>
      <c r="BF53" s="517"/>
      <c r="BG53" s="517"/>
      <c r="BH53" s="517"/>
      <c r="BI53" s="517"/>
      <c r="BJ53" s="517"/>
      <c r="BK53" s="517"/>
      <c r="BL53" s="163"/>
      <c r="BM53" s="166"/>
      <c r="BN53" s="149"/>
      <c r="BO53" s="149"/>
      <c r="BP53" s="149"/>
      <c r="BQ53" s="149"/>
      <c r="BR53" s="149"/>
      <c r="BS53" s="149"/>
      <c r="BT53" s="149"/>
      <c r="BU53" s="149"/>
      <c r="BV53" s="149"/>
      <c r="BW53" s="149"/>
      <c r="BX53" s="149"/>
      <c r="BY53" s="149"/>
      <c r="BZ53" s="149"/>
    </row>
    <row r="54" spans="1:65" ht="15.75" customHeight="1">
      <c r="A54" s="1"/>
      <c r="B54" s="164"/>
      <c r="C54" s="518"/>
      <c r="D54" s="518"/>
      <c r="E54" s="518"/>
      <c r="F54" s="518"/>
      <c r="G54" s="518"/>
      <c r="H54" s="518"/>
      <c r="I54" s="518"/>
      <c r="J54" s="518"/>
      <c r="K54" s="518"/>
      <c r="L54" s="518"/>
      <c r="M54" s="518"/>
      <c r="N54" s="518"/>
      <c r="O54" s="518"/>
      <c r="P54" s="518"/>
      <c r="Q54" s="518"/>
      <c r="R54" s="518"/>
      <c r="S54" s="518"/>
      <c r="T54" s="518"/>
      <c r="U54" s="518"/>
      <c r="V54" s="518"/>
      <c r="W54" s="518"/>
      <c r="X54" s="518"/>
      <c r="Y54" s="518"/>
      <c r="Z54" s="518"/>
      <c r="AA54" s="518"/>
      <c r="AB54" s="518"/>
      <c r="AC54" s="518"/>
      <c r="AD54" s="518"/>
      <c r="AE54" s="518"/>
      <c r="AF54" s="518"/>
      <c r="AG54" s="518"/>
      <c r="AH54" s="518"/>
      <c r="AI54" s="518"/>
      <c r="AJ54" s="518"/>
      <c r="AK54" s="518"/>
      <c r="AL54" s="518"/>
      <c r="AM54" s="518"/>
      <c r="AN54" s="518"/>
      <c r="AO54" s="518"/>
      <c r="AP54" s="518"/>
      <c r="AQ54" s="518"/>
      <c r="AR54" s="518"/>
      <c r="AS54" s="518"/>
      <c r="AT54" s="518"/>
      <c r="AU54" s="518"/>
      <c r="AV54" s="518"/>
      <c r="AW54" s="518"/>
      <c r="AX54" s="518"/>
      <c r="AY54" s="518"/>
      <c r="AZ54" s="518"/>
      <c r="BA54" s="518"/>
      <c r="BB54" s="518"/>
      <c r="BC54" s="518"/>
      <c r="BD54" s="518"/>
      <c r="BE54" s="518"/>
      <c r="BF54" s="518"/>
      <c r="BG54" s="518"/>
      <c r="BH54" s="518"/>
      <c r="BI54" s="518"/>
      <c r="BJ54" s="518"/>
      <c r="BK54" s="518"/>
      <c r="BL54" s="165"/>
      <c r="BM54" s="173">
        <f>DATE(YEAR($D$18),MONTH($D$18)+1,DAY(D18))</f>
        <v>31</v>
      </c>
    </row>
    <row r="55" spans="1:86" s="154" customFormat="1" ht="15.75" customHeight="1">
      <c r="A55" s="3"/>
      <c r="B55" s="151" t="s">
        <v>127</v>
      </c>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45"/>
      <c r="BM55" s="152"/>
      <c r="BN55" s="6"/>
      <c r="BO55" s="6"/>
      <c r="BP55" s="6"/>
      <c r="BQ55" s="6"/>
      <c r="BR55" s="6"/>
      <c r="BS55" s="6"/>
      <c r="BT55" s="6"/>
      <c r="BU55" s="6"/>
      <c r="BV55" s="6"/>
      <c r="BW55" s="6"/>
      <c r="BX55" s="6"/>
      <c r="BY55" s="6"/>
      <c r="BZ55" s="6"/>
      <c r="CA55" s="153"/>
      <c r="CB55" s="153"/>
      <c r="CC55" s="153"/>
      <c r="CD55" s="153"/>
      <c r="CE55" s="153"/>
      <c r="CF55" s="153"/>
      <c r="CG55" s="153"/>
      <c r="CH55" s="153"/>
    </row>
    <row r="56" spans="1:86" s="154" customFormat="1" ht="13.5" customHeight="1">
      <c r="A56" s="3"/>
      <c r="B56" s="155" t="s">
        <v>124</v>
      </c>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45"/>
      <c r="BM56" s="152"/>
      <c r="BN56" s="6"/>
      <c r="BO56" s="6"/>
      <c r="BP56" s="6"/>
      <c r="BQ56" s="6"/>
      <c r="BR56" s="6"/>
      <c r="BS56" s="6"/>
      <c r="BT56" s="6"/>
      <c r="BU56" s="6"/>
      <c r="BV56" s="6"/>
      <c r="BW56" s="6"/>
      <c r="BX56" s="6"/>
      <c r="BY56" s="6"/>
      <c r="BZ56" s="6"/>
      <c r="CA56" s="153"/>
      <c r="CB56" s="153"/>
      <c r="CC56" s="153"/>
      <c r="CD56" s="153"/>
      <c r="CE56" s="153"/>
      <c r="CF56" s="153"/>
      <c r="CG56" s="153"/>
      <c r="CH56" s="153"/>
    </row>
    <row r="57" spans="1:86" s="154" customFormat="1" ht="13.5" customHeight="1">
      <c r="A57" s="3"/>
      <c r="B57" s="155" t="s">
        <v>117</v>
      </c>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45"/>
      <c r="BM57" s="152"/>
      <c r="BN57" s="6"/>
      <c r="BO57" s="6"/>
      <c r="BP57" s="6"/>
      <c r="BQ57" s="6"/>
      <c r="BR57" s="6"/>
      <c r="BS57" s="6"/>
      <c r="BT57" s="6"/>
      <c r="BU57" s="6"/>
      <c r="BV57" s="6"/>
      <c r="BW57" s="6"/>
      <c r="BX57" s="6"/>
      <c r="BY57" s="6"/>
      <c r="BZ57" s="6"/>
      <c r="CA57" s="153"/>
      <c r="CB57" s="153"/>
      <c r="CC57" s="153"/>
      <c r="CD57" s="153"/>
      <c r="CE57" s="153"/>
      <c r="CF57" s="153"/>
      <c r="CG57" s="153"/>
      <c r="CH57" s="153"/>
    </row>
    <row r="58" spans="1:86" s="154" customFormat="1" ht="13.5" customHeight="1">
      <c r="A58" s="3"/>
      <c r="B58" s="155" t="s">
        <v>118</v>
      </c>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45"/>
      <c r="BM58" s="152"/>
      <c r="BN58" s="6"/>
      <c r="BO58" s="6"/>
      <c r="BP58" s="6"/>
      <c r="BQ58" s="6"/>
      <c r="BR58" s="6"/>
      <c r="BS58" s="6"/>
      <c r="BT58" s="6"/>
      <c r="BU58" s="6"/>
      <c r="BV58" s="6"/>
      <c r="BW58" s="6"/>
      <c r="BX58" s="6"/>
      <c r="BY58" s="6"/>
      <c r="BZ58" s="6"/>
      <c r="CA58" s="153"/>
      <c r="CB58" s="153"/>
      <c r="CC58" s="153"/>
      <c r="CD58" s="153"/>
      <c r="CE58" s="153"/>
      <c r="CF58" s="153"/>
      <c r="CG58" s="153"/>
      <c r="CH58" s="153"/>
    </row>
    <row r="59" spans="1:86" s="154" customFormat="1" ht="13.5" customHeight="1">
      <c r="A59" s="3"/>
      <c r="B59" s="155" t="s">
        <v>119</v>
      </c>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45"/>
      <c r="BM59" s="152"/>
      <c r="BN59" s="6"/>
      <c r="BO59" s="6"/>
      <c r="BP59" s="6"/>
      <c r="BQ59" s="6"/>
      <c r="BR59" s="6"/>
      <c r="BS59" s="6"/>
      <c r="BT59" s="6"/>
      <c r="BU59" s="6"/>
      <c r="BV59" s="6"/>
      <c r="BW59" s="6"/>
      <c r="BX59" s="6"/>
      <c r="BY59" s="6"/>
      <c r="BZ59" s="6"/>
      <c r="CA59" s="153"/>
      <c r="CB59" s="153"/>
      <c r="CC59" s="153"/>
      <c r="CD59" s="153"/>
      <c r="CE59" s="153"/>
      <c r="CF59" s="153"/>
      <c r="CG59" s="153"/>
      <c r="CH59" s="153"/>
    </row>
    <row r="60" spans="1:86" s="154" customFormat="1" ht="13.5" customHeight="1">
      <c r="A60" s="3"/>
      <c r="B60" s="155" t="s">
        <v>133</v>
      </c>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45"/>
      <c r="BM60" s="152"/>
      <c r="BN60" s="6"/>
      <c r="BO60" s="6"/>
      <c r="BP60" s="6"/>
      <c r="BQ60" s="6"/>
      <c r="BR60" s="6"/>
      <c r="BS60" s="6"/>
      <c r="BT60" s="6"/>
      <c r="BU60" s="6"/>
      <c r="BV60" s="6"/>
      <c r="BW60" s="6"/>
      <c r="BX60" s="6"/>
      <c r="BY60" s="6"/>
      <c r="BZ60" s="6"/>
      <c r="CA60" s="153"/>
      <c r="CB60" s="153"/>
      <c r="CC60" s="153"/>
      <c r="CD60" s="153"/>
      <c r="CE60" s="153"/>
      <c r="CF60" s="153"/>
      <c r="CG60" s="153"/>
      <c r="CH60" s="153"/>
    </row>
    <row r="61" spans="1:86" s="154" customFormat="1" ht="13.5" customHeight="1">
      <c r="A61" s="3"/>
      <c r="B61" s="156"/>
      <c r="C61" s="3"/>
      <c r="D61" s="3" t="s">
        <v>134</v>
      </c>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45"/>
      <c r="BM61" s="152"/>
      <c r="BN61" s="6"/>
      <c r="BO61" s="6"/>
      <c r="BP61" s="6"/>
      <c r="BQ61" s="6"/>
      <c r="BR61" s="6"/>
      <c r="BS61" s="6"/>
      <c r="BT61" s="6"/>
      <c r="BU61" s="6"/>
      <c r="BV61" s="6"/>
      <c r="BW61" s="6"/>
      <c r="BX61" s="6"/>
      <c r="BY61" s="6"/>
      <c r="BZ61" s="6"/>
      <c r="CA61" s="153"/>
      <c r="CB61" s="153"/>
      <c r="CC61" s="153"/>
      <c r="CD61" s="153"/>
      <c r="CE61" s="153"/>
      <c r="CF61" s="153"/>
      <c r="CG61" s="153"/>
      <c r="CH61" s="153"/>
    </row>
    <row r="62" spans="1:86" s="154" customFormat="1" ht="13.5" customHeight="1">
      <c r="A62" s="3"/>
      <c r="B62" s="155" t="s">
        <v>126</v>
      </c>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45"/>
      <c r="BM62" s="152"/>
      <c r="BN62" s="6"/>
      <c r="BO62" s="6"/>
      <c r="BP62" s="6"/>
      <c r="BQ62" s="6"/>
      <c r="BR62" s="6"/>
      <c r="BS62" s="6"/>
      <c r="BT62" s="6"/>
      <c r="BU62" s="6"/>
      <c r="BV62" s="6"/>
      <c r="BW62" s="6"/>
      <c r="BX62" s="6"/>
      <c r="BY62" s="6"/>
      <c r="BZ62" s="6"/>
      <c r="CA62" s="153"/>
      <c r="CB62" s="153"/>
      <c r="CC62" s="153"/>
      <c r="CD62" s="153"/>
      <c r="CE62" s="153"/>
      <c r="CF62" s="153"/>
      <c r="CG62" s="153"/>
      <c r="CH62" s="153"/>
    </row>
    <row r="63" spans="1:86" s="154" customFormat="1" ht="13.5" customHeight="1">
      <c r="A63" s="3"/>
      <c r="B63" s="155"/>
      <c r="C63" s="3"/>
      <c r="D63" s="3" t="s">
        <v>122</v>
      </c>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45"/>
      <c r="BM63" s="152"/>
      <c r="BN63" s="6"/>
      <c r="BO63" s="6"/>
      <c r="BP63" s="6"/>
      <c r="BQ63" s="6"/>
      <c r="BR63" s="6"/>
      <c r="BS63" s="6"/>
      <c r="BT63" s="6"/>
      <c r="BU63" s="6"/>
      <c r="BV63" s="6"/>
      <c r="BW63" s="6"/>
      <c r="BX63" s="6"/>
      <c r="BY63" s="6"/>
      <c r="BZ63" s="6"/>
      <c r="CA63" s="153"/>
      <c r="CB63" s="153"/>
      <c r="CC63" s="153"/>
      <c r="CD63" s="153"/>
      <c r="CE63" s="153"/>
      <c r="CF63" s="153"/>
      <c r="CG63" s="153"/>
      <c r="CH63" s="153"/>
    </row>
    <row r="64" spans="1:86" s="154" customFormat="1" ht="13.5" customHeight="1">
      <c r="A64" s="3"/>
      <c r="B64" s="155" t="s">
        <v>120</v>
      </c>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45"/>
      <c r="BM64" s="152"/>
      <c r="BN64" s="6"/>
      <c r="BO64" s="6"/>
      <c r="BP64" s="6"/>
      <c r="BQ64" s="6"/>
      <c r="BR64" s="6"/>
      <c r="BS64" s="6"/>
      <c r="BT64" s="6"/>
      <c r="BU64" s="6"/>
      <c r="BV64" s="6"/>
      <c r="BW64" s="6"/>
      <c r="BX64" s="6"/>
      <c r="BY64" s="6"/>
      <c r="BZ64" s="6"/>
      <c r="CA64" s="153"/>
      <c r="CB64" s="153"/>
      <c r="CC64" s="153"/>
      <c r="CD64" s="153"/>
      <c r="CE64" s="153"/>
      <c r="CF64" s="153"/>
      <c r="CG64" s="153"/>
      <c r="CH64" s="153"/>
    </row>
    <row r="65" spans="1:86" s="154" customFormat="1" ht="13.5" customHeight="1">
      <c r="A65" s="3"/>
      <c r="B65" s="155" t="s">
        <v>132</v>
      </c>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45"/>
      <c r="BM65" s="152"/>
      <c r="BN65" s="6"/>
      <c r="BO65" s="6"/>
      <c r="BP65" s="6"/>
      <c r="BQ65" s="6"/>
      <c r="BR65" s="6"/>
      <c r="BS65" s="6"/>
      <c r="BT65" s="6"/>
      <c r="BU65" s="6"/>
      <c r="BV65" s="6"/>
      <c r="BW65" s="6"/>
      <c r="BX65" s="6"/>
      <c r="BY65" s="6"/>
      <c r="BZ65" s="6"/>
      <c r="CA65" s="153"/>
      <c r="CB65" s="153"/>
      <c r="CC65" s="153"/>
      <c r="CD65" s="153"/>
      <c r="CE65" s="153"/>
      <c r="CF65" s="153"/>
      <c r="CG65" s="153"/>
      <c r="CH65" s="153"/>
    </row>
    <row r="66" spans="1:86" s="154" customFormat="1" ht="13.5" customHeight="1">
      <c r="A66" s="3"/>
      <c r="B66" s="155" t="s">
        <v>121</v>
      </c>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45"/>
      <c r="BM66" s="152"/>
      <c r="BN66" s="6"/>
      <c r="BO66" s="6"/>
      <c r="BP66" s="6"/>
      <c r="BQ66" s="6"/>
      <c r="BR66" s="6"/>
      <c r="BS66" s="6"/>
      <c r="BT66" s="6"/>
      <c r="BU66" s="6"/>
      <c r="BV66" s="6"/>
      <c r="BW66" s="6"/>
      <c r="BX66" s="6"/>
      <c r="BY66" s="6"/>
      <c r="BZ66" s="6"/>
      <c r="CA66" s="153"/>
      <c r="CB66" s="153"/>
      <c r="CC66" s="153"/>
      <c r="CD66" s="153"/>
      <c r="CE66" s="153"/>
      <c r="CF66" s="153"/>
      <c r="CG66" s="153"/>
      <c r="CH66" s="153"/>
    </row>
    <row r="67" spans="1:86" s="154" customFormat="1" ht="13.5" customHeight="1">
      <c r="A67" s="3"/>
      <c r="B67" s="156" t="s">
        <v>130</v>
      </c>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45"/>
      <c r="BM67" s="152"/>
      <c r="BN67" s="6"/>
      <c r="BO67" s="6"/>
      <c r="BP67" s="6"/>
      <c r="BQ67" s="6"/>
      <c r="BR67" s="6"/>
      <c r="BS67" s="6"/>
      <c r="BT67" s="6"/>
      <c r="BU67" s="6"/>
      <c r="BV67" s="6"/>
      <c r="BW67" s="6"/>
      <c r="BX67" s="6"/>
      <c r="BY67" s="6"/>
      <c r="BZ67" s="6"/>
      <c r="CA67" s="153"/>
      <c r="CB67" s="153"/>
      <c r="CC67" s="153"/>
      <c r="CD67" s="153"/>
      <c r="CE67" s="153"/>
      <c r="CF67" s="153"/>
      <c r="CG67" s="153"/>
      <c r="CH67" s="153"/>
    </row>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sheetData>
  <sheetProtection sheet="1" objects="1" scenarios="1" selectLockedCells="1"/>
  <mergeCells count="187">
    <mergeCell ref="BF4:BH4"/>
    <mergeCell ref="BI4:BK4"/>
    <mergeCell ref="C53:BK54"/>
    <mergeCell ref="AS38:BL38"/>
    <mergeCell ref="AS39:BL39"/>
    <mergeCell ref="AS40:BL40"/>
    <mergeCell ref="AX47:BL47"/>
    <mergeCell ref="AS43:BL45"/>
    <mergeCell ref="BA46:BL46"/>
    <mergeCell ref="N41:P42"/>
    <mergeCell ref="T41:Z42"/>
    <mergeCell ref="AA41:AC42"/>
    <mergeCell ref="N39:P40"/>
    <mergeCell ref="T39:Z40"/>
    <mergeCell ref="AA39:AC40"/>
    <mergeCell ref="Q39:S40"/>
    <mergeCell ref="AS41:BL41"/>
    <mergeCell ref="AS42:BL42"/>
    <mergeCell ref="AJ41:AL42"/>
    <mergeCell ref="AM41:AO42"/>
    <mergeCell ref="AP41:AR42"/>
    <mergeCell ref="AS37:BL37"/>
    <mergeCell ref="AP39:AR40"/>
    <mergeCell ref="AM39:AO40"/>
    <mergeCell ref="T37:Z38"/>
    <mergeCell ref="AA37:AC38"/>
    <mergeCell ref="AP37:AR38"/>
    <mergeCell ref="AD37:AF38"/>
    <mergeCell ref="AG37:AI38"/>
    <mergeCell ref="AJ37:AL38"/>
    <mergeCell ref="J6:L6"/>
    <mergeCell ref="M5:O5"/>
    <mergeCell ref="M6:O6"/>
    <mergeCell ref="J4:L4"/>
    <mergeCell ref="D37:M38"/>
    <mergeCell ref="N37:P38"/>
    <mergeCell ref="T31:Z32"/>
    <mergeCell ref="AG33:AI34"/>
    <mergeCell ref="AD29:AF30"/>
    <mergeCell ref="AA31:AC32"/>
    <mergeCell ref="AS35:BL35"/>
    <mergeCell ref="AS36:BL36"/>
    <mergeCell ref="AP33:AR34"/>
    <mergeCell ref="AP31:AR32"/>
    <mergeCell ref="AS33:BL33"/>
    <mergeCell ref="AS34:BL34"/>
    <mergeCell ref="N33:P34"/>
    <mergeCell ref="T33:Z34"/>
    <mergeCell ref="AA33:AC34"/>
    <mergeCell ref="Q33:S34"/>
    <mergeCell ref="AJ35:AL36"/>
    <mergeCell ref="AM35:AO36"/>
    <mergeCell ref="U50:AA50"/>
    <mergeCell ref="AD27:AF28"/>
    <mergeCell ref="U49:AA49"/>
    <mergeCell ref="AA27:AC28"/>
    <mergeCell ref="N45:U46"/>
    <mergeCell ref="V45:Z46"/>
    <mergeCell ref="N43:U44"/>
    <mergeCell ref="V43:Z44"/>
    <mergeCell ref="AD41:AF42"/>
    <mergeCell ref="AA29:AC30"/>
    <mergeCell ref="AG39:AI40"/>
    <mergeCell ref="AM43:AO46"/>
    <mergeCell ref="AA35:AC36"/>
    <mergeCell ref="AD35:AF36"/>
    <mergeCell ref="AM37:AO38"/>
    <mergeCell ref="AG43:AI46"/>
    <mergeCell ref="AJ39:AL40"/>
    <mergeCell ref="AL17:AM22"/>
    <mergeCell ref="D27:M28"/>
    <mergeCell ref="D24:M26"/>
    <mergeCell ref="AA24:AR24"/>
    <mergeCell ref="AA26:AC26"/>
    <mergeCell ref="D35:M36"/>
    <mergeCell ref="AP35:AR36"/>
    <mergeCell ref="AG26:AI26"/>
    <mergeCell ref="AG35:AI36"/>
    <mergeCell ref="N35:P36"/>
    <mergeCell ref="AJ43:AL46"/>
    <mergeCell ref="Q27:S28"/>
    <mergeCell ref="Q29:S30"/>
    <mergeCell ref="Q31:S32"/>
    <mergeCell ref="Q35:S36"/>
    <mergeCell ref="Q37:S38"/>
    <mergeCell ref="T27:Z28"/>
    <mergeCell ref="AA43:AC46"/>
    <mergeCell ref="AG41:AI42"/>
    <mergeCell ref="AD39:AF40"/>
    <mergeCell ref="AD26:AF26"/>
    <mergeCell ref="D18:I19"/>
    <mergeCell ref="D21:I22"/>
    <mergeCell ref="B8:I8"/>
    <mergeCell ref="J8:L8"/>
    <mergeCell ref="B43:C46"/>
    <mergeCell ref="AD43:AF46"/>
    <mergeCell ref="B24:C42"/>
    <mergeCell ref="B17:C22"/>
    <mergeCell ref="T35:Z36"/>
    <mergeCell ref="Y21:Z22"/>
    <mergeCell ref="K18:L19"/>
    <mergeCell ref="K21:L22"/>
    <mergeCell ref="B4:I4"/>
    <mergeCell ref="B5:I5"/>
    <mergeCell ref="B6:I6"/>
    <mergeCell ref="B7:I7"/>
    <mergeCell ref="J7:L7"/>
    <mergeCell ref="M4:O4"/>
    <mergeCell ref="J5:L5"/>
    <mergeCell ref="X6:AN7"/>
    <mergeCell ref="M7:O7"/>
    <mergeCell ref="AW17:AX22"/>
    <mergeCell ref="AP27:AR28"/>
    <mergeCell ref="AM27:AO28"/>
    <mergeCell ref="AS24:BL26"/>
    <mergeCell ref="AS27:BL27"/>
    <mergeCell ref="AG27:AI28"/>
    <mergeCell ref="AM25:AN25"/>
    <mergeCell ref="AJ26:AL26"/>
    <mergeCell ref="AN17:AV19"/>
    <mergeCell ref="AP25:AQ25"/>
    <mergeCell ref="BB20:BL22"/>
    <mergeCell ref="BB17:BL19"/>
    <mergeCell ref="AX14:BA16"/>
    <mergeCell ref="AY17:BA19"/>
    <mergeCell ref="AY20:BA22"/>
    <mergeCell ref="D45:H46"/>
    <mergeCell ref="I45:M46"/>
    <mergeCell ref="D33:M34"/>
    <mergeCell ref="D41:M42"/>
    <mergeCell ref="D43:H44"/>
    <mergeCell ref="I43:M44"/>
    <mergeCell ref="D39:M40"/>
    <mergeCell ref="AP29:AR30"/>
    <mergeCell ref="AS28:BL28"/>
    <mergeCell ref="AS29:BL29"/>
    <mergeCell ref="AS30:BL30"/>
    <mergeCell ref="AJ27:AL28"/>
    <mergeCell ref="AJ33:AL34"/>
    <mergeCell ref="AS32:BL32"/>
    <mergeCell ref="AS31:BL31"/>
    <mergeCell ref="AG31:AI32"/>
    <mergeCell ref="AJ31:AL32"/>
    <mergeCell ref="P18:T19"/>
    <mergeCell ref="Y18:Z19"/>
    <mergeCell ref="Q24:S26"/>
    <mergeCell ref="T29:Z30"/>
    <mergeCell ref="AD31:AF32"/>
    <mergeCell ref="AG25:AH25"/>
    <mergeCell ref="AJ25:AK25"/>
    <mergeCell ref="AA25:AB25"/>
    <mergeCell ref="AP43:AR46"/>
    <mergeCell ref="AD25:AE25"/>
    <mergeCell ref="N24:P26"/>
    <mergeCell ref="Q41:S42"/>
    <mergeCell ref="AD33:AF34"/>
    <mergeCell ref="AM33:AO34"/>
    <mergeCell ref="AP26:AR26"/>
    <mergeCell ref="AG29:AI30"/>
    <mergeCell ref="AJ29:AL30"/>
    <mergeCell ref="AM29:AO30"/>
    <mergeCell ref="M8:O8"/>
    <mergeCell ref="D12:N16"/>
    <mergeCell ref="B12:C16"/>
    <mergeCell ref="O12:AG13"/>
    <mergeCell ref="O14:AG16"/>
    <mergeCell ref="Z8:AL9"/>
    <mergeCell ref="AJ14:AW16"/>
    <mergeCell ref="AM12:BL13"/>
    <mergeCell ref="AJ12:AL13"/>
    <mergeCell ref="AH12:AI16"/>
    <mergeCell ref="DA24:DA26"/>
    <mergeCell ref="CH24:CH26"/>
    <mergeCell ref="CI24:CZ24"/>
    <mergeCell ref="CI25:CP25"/>
    <mergeCell ref="CQ25:CS25"/>
    <mergeCell ref="CT25:CW25"/>
    <mergeCell ref="B23:C23"/>
    <mergeCell ref="D23:BL23"/>
    <mergeCell ref="D31:M32"/>
    <mergeCell ref="N31:P32"/>
    <mergeCell ref="D29:M30"/>
    <mergeCell ref="N29:P30"/>
    <mergeCell ref="AM31:AO32"/>
    <mergeCell ref="AM26:AO26"/>
    <mergeCell ref="N27:P28"/>
    <mergeCell ref="T24:Z26"/>
  </mergeCells>
  <conditionalFormatting sqref="Q27:S42">
    <cfRule type="expression" priority="1" dxfId="44" stopIfTrue="1">
      <formula>$BM27=1</formula>
    </cfRule>
  </conditionalFormatting>
  <conditionalFormatting sqref="U49:AA49">
    <cfRule type="expression" priority="2" dxfId="38" stopIfTrue="1">
      <formula>$BM49=1</formula>
    </cfRule>
    <cfRule type="expression" priority="3" dxfId="39" stopIfTrue="1">
      <formula>$BM$49=0</formula>
    </cfRule>
  </conditionalFormatting>
  <conditionalFormatting sqref="U50:AA51">
    <cfRule type="expression" priority="4" dxfId="38" stopIfTrue="1">
      <formula>$BM50=1</formula>
    </cfRule>
    <cfRule type="expression" priority="5" dxfId="39" stopIfTrue="1">
      <formula>$BM$50=0</formula>
    </cfRule>
  </conditionalFormatting>
  <conditionalFormatting sqref="AS52:AT52">
    <cfRule type="expression" priority="6" dxfId="38" stopIfTrue="1">
      <formula>$U$52="利用する"</formula>
    </cfRule>
  </conditionalFormatting>
  <conditionalFormatting sqref="J5:L8">
    <cfRule type="expression" priority="7" dxfId="40" stopIfTrue="1">
      <formula>$I$3=1</formula>
    </cfRule>
    <cfRule type="expression" priority="8" dxfId="39" stopIfTrue="1">
      <formula>$I$3&lt;&gt;1</formula>
    </cfRule>
  </conditionalFormatting>
  <conditionalFormatting sqref="M5:O8">
    <cfRule type="expression" priority="9" dxfId="41" stopIfTrue="1">
      <formula>$I$3=1</formula>
    </cfRule>
    <cfRule type="expression" priority="10" dxfId="39" stopIfTrue="1">
      <formula>$I$3&lt;&gt;1</formula>
    </cfRule>
  </conditionalFormatting>
  <conditionalFormatting sqref="B5:I8">
    <cfRule type="expression" priority="11" dxfId="42" stopIfTrue="1">
      <formula>$I$3=1</formula>
    </cfRule>
    <cfRule type="expression" priority="12" dxfId="39" stopIfTrue="1">
      <formula>$I$3&lt;&gt;1</formula>
    </cfRule>
  </conditionalFormatting>
  <conditionalFormatting sqref="J4:L4">
    <cfRule type="expression" priority="13" dxfId="40" stopIfTrue="1">
      <formula>$H$3=1</formula>
    </cfRule>
    <cfRule type="expression" priority="14" dxfId="39" stopIfTrue="1">
      <formula>$H$3&lt;&gt;1</formula>
    </cfRule>
  </conditionalFormatting>
  <conditionalFormatting sqref="M4:O4">
    <cfRule type="expression" priority="15" dxfId="41" stopIfTrue="1">
      <formula>$H$3=1</formula>
    </cfRule>
    <cfRule type="expression" priority="16" dxfId="39" stopIfTrue="1">
      <formula>$H$3&lt;&gt;1</formula>
    </cfRule>
  </conditionalFormatting>
  <conditionalFormatting sqref="Q24">
    <cfRule type="expression" priority="17" dxfId="43" stopIfTrue="1">
      <formula>$N$45&gt;0</formula>
    </cfRule>
  </conditionalFormatting>
  <conditionalFormatting sqref="N45:Z46 AD43:AF46 AM43:AO46">
    <cfRule type="expression" priority="18" dxfId="39" stopIfTrue="1">
      <formula>$D$27=""</formula>
    </cfRule>
  </conditionalFormatting>
  <dataValidations count="7">
    <dataValidation type="list" allowBlank="1" showInputMessage="1" showErrorMessage="1" sqref="U50">
      <formula1>"　,バイキング,和食"</formula1>
    </dataValidation>
    <dataValidation type="list" allowBlank="1" showInputMessage="1" showErrorMessage="1" sqref="U49">
      <formula1>"　 ,希望する,希望しない"</formula1>
    </dataValidation>
    <dataValidation type="list" allowBlank="1" showInputMessage="1" showErrorMessage="1" sqref="Q27 Q39 Q37 Q35 Q33 Q31 Q29 Q41">
      <formula1>"有,無"</formula1>
    </dataValidation>
    <dataValidation type="list" allowBlank="1" showInputMessage="1" showErrorMessage="1" sqref="AA27:AR42">
      <formula1>"　,○"</formula1>
    </dataValidation>
    <dataValidation type="list" allowBlank="1" showInputMessage="1" showErrorMessage="1" sqref="T27:Z42">
      <formula1>"　,本人,配偶者,子,父母,義父母,同居の親族,その他,みつわ会会員"</formula1>
    </dataValidation>
    <dataValidation type="list" allowBlank="1" showInputMessage="1" showErrorMessage="1" sqref="B4:I4">
      <formula1>"　　,志賀山荘,勝浦ﾎﾃﾙ三日月,ｽｶｲﾊﾟｰｸﾎﾃﾙ,穂高ﾋﾞｭｰﾎﾃﾙ,由布院倶楽部,ﾙｽﾂﾘｿﾞｰﾄ"</formula1>
    </dataValidation>
    <dataValidation allowBlank="1" showInputMessage="1" showErrorMessage="1" imeMode="off" sqref="BB17:BL22"/>
  </dataValidations>
  <printOptions/>
  <pageMargins left="0.1968503937007874" right="0.1968503937007874" top="0.2755905511811024" bottom="0.4724409448818898" header="0.1968503937007874" footer="0.1968503937007874"/>
  <pageSetup horizontalDpi="600" verticalDpi="600" orientation="portrait" paperSize="9" r:id="rId4"/>
  <headerFooter alignWithMargins="0">
    <oddFooter>&amp;R&amp;10 2014.1改訂</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日新火災海上保険株式会社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日新火災海上保険株式会社</dc:creator>
  <cp:keywords/>
  <dc:description/>
  <cp:lastModifiedBy>小西巖</cp:lastModifiedBy>
  <cp:lastPrinted>2014-01-23T05:29:44Z</cp:lastPrinted>
  <dcterms:created xsi:type="dcterms:W3CDTF">2008-10-29T04:55:42Z</dcterms:created>
  <dcterms:modified xsi:type="dcterms:W3CDTF">2014-01-28T10:41:52Z</dcterms:modified>
  <cp:category/>
  <cp:version/>
  <cp:contentType/>
  <cp:contentStatus/>
</cp:coreProperties>
</file>